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32760" windowWidth="17988" windowHeight="9168" tabRatio="816" activeTab="0"/>
  </bookViews>
  <sheets>
    <sheet name="参加者データ（要入力）" sheetId="1" r:id="rId1"/>
    <sheet name="奉仕団基礎データ（要入力）" sheetId="2" r:id="rId2"/>
    <sheet name="奉仕団名簿（提出用）" sheetId="3" r:id="rId3"/>
    <sheet name="申込書№1（提出用）" sheetId="4" r:id="rId4"/>
    <sheet name="精算便利表" sheetId="5" r:id="rId5"/>
    <sheet name="研修部使用データ" sheetId="6" r:id="rId6"/>
  </sheets>
  <definedNames>
    <definedName name="_xlnm._FilterDatabase" localSheetId="0" hidden="1">'参加者データ（要入力）'!$A$1:$O$102</definedName>
    <definedName name="_xlfn.SINGLE" hidden="1">#NAME?</definedName>
    <definedName name="_xlnm.Print_Area" localSheetId="0">'参加者データ（要入力）'!$A$1:$O$67</definedName>
    <definedName name="_xlnm.Print_Area" localSheetId="3">'申込書№1（提出用）'!$A$1:$BH$75</definedName>
    <definedName name="_xlnm.Print_Area" localSheetId="1">'奉仕団基礎データ（要入力）'!$A$1:$K$27</definedName>
    <definedName name="_xlnm.Print_Area" localSheetId="2">'奉仕団名簿（提出用）'!$A$1:$R$204</definedName>
    <definedName name="_xlnm.Print_Titles" localSheetId="2">'奉仕団名簿（提出用）'!$1:$4</definedName>
  </definedNames>
  <calcPr fullCalcOnLoad="1"/>
</workbook>
</file>

<file path=xl/comments1.xml><?xml version="1.0" encoding="utf-8"?>
<comments xmlns="http://schemas.openxmlformats.org/spreadsheetml/2006/main">
  <authors>
    <author>saka</author>
  </authors>
  <commentList>
    <comment ref="B2" authorId="0">
      <text>
        <r>
          <rPr>
            <b/>
            <sz val="9"/>
            <rFont val="ＭＳ Ｐゴシック"/>
            <family val="3"/>
          </rPr>
          <t>メモ:</t>
        </r>
        <r>
          <rPr>
            <sz val="9"/>
            <rFont val="ＭＳ Ｐゴシック"/>
            <family val="3"/>
          </rPr>
          <t xml:space="preserve">
この名簿を元に、子ども奉仕団の班分け名簿を作成いたします。また、帰敬式受式者は、入力されたお名前のとおりに登録させていただきます。パソコンで入力できない文字の場合は、名簿をプリントアウトした際に修正ください。</t>
        </r>
      </text>
    </comment>
    <comment ref="K2" authorId="0">
      <text>
        <r>
          <rPr>
            <b/>
            <sz val="9"/>
            <rFont val="ＭＳ Ｐゴシック"/>
            <family val="3"/>
          </rPr>
          <t>メモ:</t>
        </r>
        <r>
          <rPr>
            <sz val="9"/>
            <rFont val="ＭＳ Ｐゴシック"/>
            <family val="3"/>
          </rPr>
          <t xml:space="preserve">
A（住職選定法名）については、入力いただいた通りにご用意いたします。パソコンで出ない文字の場合は、プリントアウトした名簿に修正を加えてください。また、女性の「尼」は提出用名簿に自動で入力されますので、このシートには「尼」をつけなくても結構です。
B（本山選定法名）・受式しない方については、入力しないでください。</t>
        </r>
      </text>
    </comment>
    <comment ref="J2" authorId="0">
      <text>
        <r>
          <rPr>
            <b/>
            <sz val="9"/>
            <rFont val="ＭＳ Ｐゴシック"/>
            <family val="3"/>
          </rPr>
          <t>メモ:</t>
        </r>
        <r>
          <rPr>
            <sz val="9"/>
            <rFont val="ＭＳ Ｐゴシック"/>
            <family val="3"/>
          </rPr>
          <t xml:space="preserve">
帰敬式受式の方は住職選定法名・本山選定法名のどちらかを、受式しない方は無・済のどちらかを入力ください。</t>
        </r>
      </text>
    </comment>
    <comment ref="P2" authorId="0">
      <text>
        <r>
          <rPr>
            <b/>
            <sz val="9"/>
            <rFont val="ＭＳ Ｐゴシック"/>
            <family val="3"/>
          </rPr>
          <t>メモ:</t>
        </r>
        <r>
          <rPr>
            <sz val="9"/>
            <rFont val="ＭＳ Ｐゴシック"/>
            <family val="3"/>
          </rPr>
          <t xml:space="preserve">
　「子ども奉仕団」期間中のより良い運営と安全のため、スタッフや職員が知っておくべきことについてご記入ください。
　参加される方の「こころとからだ」の状況でご心配なこと、必ず服用しなければならない薬がある等、どんなことでも結構です。
　また、食品アレルギーのある方については、食事を別にご用意いたしますので、なるべく詳しく記入ください。
　必要に応じて車椅子もご用意できます。
　なお、日程中は同朋会館に看護師が常に待機しております。</t>
        </r>
      </text>
    </comment>
  </commentList>
</comments>
</file>

<file path=xl/comments3.xml><?xml version="1.0" encoding="utf-8"?>
<comments xmlns="http://schemas.openxmlformats.org/spreadsheetml/2006/main">
  <authors>
    <author>saka</author>
  </authors>
  <commentList>
    <comment ref="A1" authorId="0">
      <text>
        <r>
          <rPr>
            <b/>
            <sz val="9"/>
            <rFont val="ＭＳ Ｐゴシック"/>
            <family val="3"/>
          </rPr>
          <t>メモ:</t>
        </r>
        <r>
          <rPr>
            <sz val="9"/>
            <rFont val="ＭＳ Ｐゴシック"/>
            <family val="3"/>
          </rPr>
          <t xml:space="preserve">
プリントアウトされる際は、ご自身で印刷範囲を設定ください。範囲を設定されないままプリントアウトされると、１００名分印刷されますので、ご注意ください。
なお、このコメント欄はプリントアウトの際には印刷されません。</t>
        </r>
      </text>
    </comment>
  </commentList>
</comments>
</file>

<file path=xl/comments4.xml><?xml version="1.0" encoding="utf-8"?>
<comments xmlns="http://schemas.openxmlformats.org/spreadsheetml/2006/main">
  <authors>
    <author>saka</author>
  </authors>
  <commentList>
    <comment ref="BG7" authorId="0">
      <text>
        <r>
          <rPr>
            <b/>
            <sz val="9"/>
            <rFont val="ＭＳ Ｐゴシック"/>
            <family val="3"/>
          </rPr>
          <t>メモ:</t>
        </r>
        <r>
          <rPr>
            <sz val="9"/>
            <rFont val="ＭＳ Ｐゴシック"/>
            <family val="3"/>
          </rPr>
          <t xml:space="preserve">
</t>
        </r>
        <r>
          <rPr>
            <sz val="11"/>
            <rFont val="ＭＳ Ｐゴシック"/>
            <family val="3"/>
          </rPr>
          <t>このシートをプリントアウトし、申込責任者の印の押印されたものを申込書としてご提出ください。</t>
        </r>
      </text>
    </comment>
  </commentList>
</comments>
</file>

<file path=xl/sharedStrings.xml><?xml version="1.0" encoding="utf-8"?>
<sst xmlns="http://schemas.openxmlformats.org/spreadsheetml/2006/main" count="546" uniqueCount="201">
  <si>
    <t>班</t>
  </si>
  <si>
    <t>名前</t>
  </si>
  <si>
    <t>郵便番号</t>
  </si>
  <si>
    <t>住所</t>
  </si>
  <si>
    <t>教区</t>
  </si>
  <si>
    <t>組</t>
  </si>
  <si>
    <t>寺院教会名</t>
  </si>
  <si>
    <t>性別</t>
  </si>
  <si>
    <t>女</t>
  </si>
  <si>
    <t>№</t>
  </si>
  <si>
    <t>フリガナ</t>
  </si>
  <si>
    <t>生年月日</t>
  </si>
  <si>
    <t>法名</t>
  </si>
  <si>
    <t>フリガナ</t>
  </si>
  <si>
    <t>組</t>
  </si>
  <si>
    <t>釋</t>
  </si>
  <si>
    <t>氏名</t>
  </si>
  <si>
    <t>帰敬式</t>
  </si>
  <si>
    <t>A</t>
  </si>
  <si>
    <t>役職</t>
  </si>
  <si>
    <t>所属寺</t>
  </si>
  <si>
    <t>（役職名）</t>
  </si>
  <si>
    <t>宗　務　総　長　殿</t>
  </si>
  <si>
    <t>奉仕団名</t>
  </si>
  <si>
    <t>期間
食事</t>
  </si>
  <si>
    <t>人数</t>
  </si>
  <si>
    <t>引率責任者</t>
  </si>
  <si>
    <t>上山の際に利用される
交通機関</t>
  </si>
  <si>
    <t>ふりがな</t>
  </si>
  <si>
    <t>（</t>
  </si>
  <si>
    <t>）</t>
  </si>
  <si>
    <t>名）</t>
  </si>
  <si>
    <t>ふりがな</t>
  </si>
  <si>
    <t>連絡先</t>
  </si>
  <si>
    <t>（自宅℡）</t>
  </si>
  <si>
    <t>（携帯℡）</t>
  </si>
  <si>
    <t>到着時間</t>
  </si>
  <si>
    <t>その他</t>
  </si>
  <si>
    <t>台</t>
  </si>
  <si>
    <t>期間中の駐車場</t>
  </si>
  <si>
    <t>【</t>
  </si>
  <si>
    <t>】</t>
  </si>
  <si>
    <t>男</t>
  </si>
  <si>
    <t>部長</t>
  </si>
  <si>
    <t>ﾌﾘｶﾞﾅ</t>
  </si>
  <si>
    <t>奉仕団参加者名簿　兼　帰敬式受式者名簿</t>
  </si>
  <si>
    <t>期間</t>
  </si>
  <si>
    <t>入館日</t>
  </si>
  <si>
    <t>退館日</t>
  </si>
  <si>
    <t>入館日食事</t>
  </si>
  <si>
    <t>退館日食事</t>
  </si>
  <si>
    <t>宿泊数</t>
  </si>
  <si>
    <t>引率責任者名</t>
  </si>
  <si>
    <t>交通手段</t>
  </si>
  <si>
    <t>頃</t>
  </si>
  <si>
    <t>／</t>
  </si>
  <si>
    <t>自宅℡</t>
  </si>
  <si>
    <t>携帯℡</t>
  </si>
  <si>
    <t>期間中の駐車場</t>
  </si>
  <si>
    <t>JR京都駅到着時刻</t>
  </si>
  <si>
    <t>バスの種別</t>
  </si>
  <si>
    <t>バスの台数</t>
  </si>
  <si>
    <t>その他の場合の交通手段・特記事項</t>
  </si>
  <si>
    <t>現地集合</t>
  </si>
  <si>
    <t>↓申込書に入力するための基礎データです。空欄のないよう入力ください。</t>
  </si>
  <si>
    <t>計</t>
  </si>
  <si>
    <t>B</t>
  </si>
  <si>
    <t>第１</t>
  </si>
  <si>
    <t>東本願寺</t>
  </si>
  <si>
    <t>ﾌﾘｶﾞﾅ</t>
  </si>
  <si>
    <t>～</t>
  </si>
  <si>
    <t>京都駅利用の場合のみ入力</t>
  </si>
  <si>
    <t>バスでお越しの場合のみ入力</t>
  </si>
  <si>
    <t>その他の場合のみ入力</t>
  </si>
  <si>
    <t>申込書受付の際の確認とご案内送付方法</t>
  </si>
  <si>
    <t>メールの場合のみ入力ください。</t>
  </si>
  <si>
    <t>(</t>
  </si>
  <si>
    <t>)</t>
  </si>
  <si>
    <t>申込内容確認・
ご案内送付方法</t>
  </si>
  <si>
    <t>申込責任者名</t>
  </si>
  <si>
    <t>米持参</t>
  </si>
  <si>
    <t>米代金</t>
  </si>
  <si>
    <t>小計</t>
  </si>
  <si>
    <t>引率責任者精算便利表</t>
  </si>
  <si>
    <t>例</t>
  </si>
  <si>
    <t>本山　朋子</t>
  </si>
  <si>
    <t>朋願</t>
  </si>
  <si>
    <t>℡</t>
  </si>
  <si>
    <t>入館時間</t>
  </si>
  <si>
    <t>退館時間</t>
  </si>
  <si>
    <t>帰敬式有無</t>
  </si>
  <si>
    <t>A</t>
  </si>
  <si>
    <t>Ｂ</t>
  </si>
  <si>
    <t>交通機関</t>
  </si>
  <si>
    <t>研修部　第　　　　　号　　　　　　　　年　　　　月　　　　日</t>
  </si>
  <si>
    <t>受付</t>
  </si>
  <si>
    <t>〒</t>
  </si>
  <si>
    <t>℡</t>
  </si>
  <si>
    <t>釋</t>
  </si>
  <si>
    <t>ﾓﾄﾔﾏ　ﾄﾓｺ</t>
  </si>
  <si>
    <t>600-8308</t>
  </si>
  <si>
    <t>京都府京都市下京区新シ町121　同朋会館内</t>
  </si>
  <si>
    <t>075-371-9185</t>
  </si>
  <si>
    <t>ﾎｳｶﾞﾝ</t>
  </si>
  <si>
    <t>招聘</t>
  </si>
  <si>
    <t>推進員室</t>
  </si>
  <si>
    <t>諸研修</t>
  </si>
  <si>
    <t>本山　朋子</t>
  </si>
  <si>
    <t>〒</t>
  </si>
  <si>
    <t>℡</t>
  </si>
  <si>
    <t>印</t>
  </si>
  <si>
    <t>研修部主事</t>
  </si>
  <si>
    <t>057-371-9185</t>
  </si>
  <si>
    <t>080-0371-9185</t>
  </si>
  <si>
    <t>同朋会館到着時間</t>
  </si>
  <si>
    <t>同朋会館出発時間</t>
  </si>
  <si>
    <t>参加者数（参加者データの内容が自動的に反映されます）</t>
  </si>
  <si>
    <t>受式者数（参加者データの内容が自動的に反映されます）</t>
  </si>
  <si>
    <t>メール</t>
  </si>
  <si>
    <t>メールアドレス（ファイルの添付が可能なもの）</t>
  </si>
  <si>
    <t>もとやま　ともこ</t>
  </si>
  <si>
    <t>motoyama-ryoo@k87.dｄｇｋion.ne.jp</t>
  </si>
  <si>
    <t>山本　真宗</t>
  </si>
  <si>
    <t>備考</t>
  </si>
  <si>
    <t>子ども奉仕団</t>
  </si>
  <si>
    <t>子ども</t>
  </si>
  <si>
    <t>（男性）</t>
  </si>
  <si>
    <t>（女性）</t>
  </si>
  <si>
    <t>帰敬式
受式予定者</t>
  </si>
  <si>
    <t>↑大人の人数は宿泊される方の人数です。</t>
  </si>
  <si>
    <t>学年</t>
  </si>
  <si>
    <t>その他連絡欄</t>
  </si>
  <si>
    <t>昼食</t>
  </si>
  <si>
    <t>／</t>
  </si>
  <si>
    <t>ＪＲ京都駅</t>
  </si>
  <si>
    <t>京都駅着</t>
  </si>
  <si>
    <t>（</t>
  </si>
  <si>
    <t>バス</t>
  </si>
  <si>
    <t>／</t>
  </si>
  <si>
    <t>真宗本廟子ども奉仕団申込書兼帰敬式受式願</t>
  </si>
  <si>
    <t>子ども（男）</t>
  </si>
  <si>
    <t>子ども（女）</t>
  </si>
  <si>
    <t>大人（男）</t>
  </si>
  <si>
    <t>大人（女）</t>
  </si>
  <si>
    <t>〒</t>
  </si>
  <si>
    <t>引率責任者連絡先</t>
  </si>
  <si>
    <t>4</t>
  </si>
  <si>
    <t>男4</t>
  </si>
  <si>
    <t>男5</t>
  </si>
  <si>
    <t>男6</t>
  </si>
  <si>
    <t>男引</t>
  </si>
  <si>
    <t>女4</t>
  </si>
  <si>
    <t>女5</t>
  </si>
  <si>
    <t>女6</t>
  </si>
  <si>
    <t>女引</t>
  </si>
  <si>
    <t>参加者数</t>
  </si>
  <si>
    <t>男性</t>
  </si>
  <si>
    <t>女性</t>
  </si>
  <si>
    <t>合計</t>
  </si>
  <si>
    <t>帰敬式受式者数</t>
  </si>
  <si>
    <t>A</t>
  </si>
  <si>
    <t>B</t>
  </si>
  <si>
    <t>４年</t>
  </si>
  <si>
    <t>５年</t>
  </si>
  <si>
    <t>６年</t>
  </si>
  <si>
    <t>引率</t>
  </si>
  <si>
    <t>子ども合計</t>
  </si>
  <si>
    <t>↓参加者データに入力された内容から、人数を自動で計算しております。人数に間違いがないかをご確認ください。
　 ただし、入力内容に不備がある場合は正確に反映されませんのでご注意ください。</t>
  </si>
  <si>
    <r>
      <t xml:space="preserve">大人
</t>
    </r>
    <r>
      <rPr>
        <sz val="6"/>
        <rFont val="ＭＳ 明朝"/>
        <family val="1"/>
      </rPr>
      <t>（宿泊）</t>
    </r>
  </si>
  <si>
    <t>600-8308</t>
  </si>
  <si>
    <t>京都府京都市下京区新シ町121</t>
  </si>
  <si>
    <t>その他</t>
  </si>
  <si>
    <t>自家用車</t>
  </si>
  <si>
    <t>初日昼食追加食数</t>
  </si>
  <si>
    <t>←宿泊されない引率の方でも、初日昼食のみ同朋会館にてご用意できます。ご希望の方は人数を入力ください。宿泊される引率の方は入力いただく必要はありません。</t>
  </si>
  <si>
    <t>体調面で留意する事項の有無</t>
  </si>
  <si>
    <t>有</t>
  </si>
  <si>
    <t>体調面
留意事項</t>
  </si>
  <si>
    <t>有</t>
  </si>
  <si>
    <t>卵アレルギー（マヨネーズや天ぷらの衣等加工品は食べられます）</t>
  </si>
  <si>
    <t>（記入例）アレルギーのある参加者と薬を持参する参加者がおりますので、留意ください。←入力の際はこの文章を消去のうえ入力ください。</t>
  </si>
  <si>
    <t>子ども奉仕団冥加金</t>
  </si>
  <si>
    <t xml:space="preserve">
到着出発予定時間</t>
  </si>
  <si>
    <t>※宿泊されない引率の方でも、初日昼食のみご用意できます。ご希望の方は人数をご記入ください。</t>
  </si>
  <si>
    <t>20歳以下：5,000円</t>
  </si>
  <si>
    <t>21歳以上：10,000円</t>
  </si>
  <si>
    <t>※同朋会館冥加金については補助金1,000円を差し引いた額を標記しています。</t>
  </si>
  <si>
    <t>※帰敬式礼金</t>
  </si>
  <si>
    <t>合
計</t>
  </si>
  <si>
    <t>●●</t>
  </si>
  <si>
    <t>●●寺</t>
  </si>
  <si>
    <t>迷惑メール対策などで、PCからのメール受信を制限している方は、設定の変更をお願いいたします。</t>
  </si>
  <si>
    <t>昼</t>
  </si>
  <si>
    <t>備考（健康状態・アレルギー等）</t>
  </si>
  <si>
    <t>1泊：14時頃/2泊：13時頃解散予定</t>
  </si>
  <si>
    <t xml:space="preserve">
申込責任者</t>
  </si>
  <si>
    <t>保護者の連絡先</t>
  </si>
  <si>
    <t>住職</t>
  </si>
  <si>
    <t>住職選定法名</t>
  </si>
  <si>
    <t>本山選定法名</t>
  </si>
  <si>
    <t>本山</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</si>
</sst>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AM/PM\ hh:mm:ss"/>
    <numFmt numFmtId="180" formatCode="h:mm;@"/>
    <numFmt numFmtId="181" formatCode="[$-411]&quot; &quot;yyyy&quot;年 &quot;m&quot;月 &quot;d&quot;日 &quot;dddd"/>
    <numFmt numFmtId="182" formatCode="[$€-2]\ #,##0.00_);[Red]\([$€-2]\ #,##0.00\)"/>
    <numFmt numFmtId="183" formatCode="m/d;@"/>
    <numFmt numFmtId="184" formatCode="[$-411]&quot; &quot;yyyy&quot;年 &quot;m&quot;月 &quot;d&quot;日 &quot;\(ddd"/>
    <numFmt numFmtId="185" formatCode="[$-411]&quot; &quot;yyyy&quot;年 &quot;m&quot;月 &quot;d&quot;日 &quot;\(ddd\)"/>
    <numFmt numFmtId="186" formatCode="[$-411]&quot; &quot;m&quot;月 &quot;d&quot;日 &quot;\(ddd\)"/>
    <numFmt numFmtId="187" formatCode="mmm\-yyyy"/>
    <numFmt numFmtId="188" formatCode="yyyy&quot;年&quot;m&quot;月&quot;d&quot;日&quot;;@"/>
    <numFmt numFmtId="189" formatCode="yyyy&quot;年&quot;m&quot;月&quot;d&quot;日&quot;&quot;～&quot;"/>
    <numFmt numFmtId="190" formatCode="m&quot;月&quot;d&quot;日&quot;;@"/>
    <numFmt numFmtId="191" formatCode="yyyy/m/d&quot;（&quot;aaa&quot;）&quot;"/>
    <numFmt numFmtId="192" formatCode="[$-411]yyyy&quot;(&quot;ge&quot;)年&quot;"/>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78">
    <font>
      <sz val="11"/>
      <name val="ＭＳ Ｐゴシック"/>
      <family val="3"/>
    </font>
    <font>
      <b/>
      <sz val="11"/>
      <name val="ＭＳ Ｐゴシック"/>
      <family val="3"/>
    </font>
    <font>
      <sz val="6"/>
      <name val="ＭＳ Ｐゴシック"/>
      <family val="3"/>
    </font>
    <font>
      <b/>
      <sz val="9"/>
      <name val="ＭＳ Ｐゴシック"/>
      <family val="3"/>
    </font>
    <font>
      <sz val="11"/>
      <name val="ＭＳ Ｐ明朝"/>
      <family val="1"/>
    </font>
    <font>
      <b/>
      <sz val="11"/>
      <name val="ＭＳ Ｐ明朝"/>
      <family val="1"/>
    </font>
    <font>
      <b/>
      <sz val="15"/>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b/>
      <sz val="14"/>
      <name val="ＭＳ Ｐ明朝"/>
      <family val="1"/>
    </font>
    <font>
      <b/>
      <sz val="16"/>
      <name val="ＭＳ Ｐゴシック"/>
      <family val="3"/>
    </font>
    <font>
      <sz val="12"/>
      <name val="ＭＳ Ｐゴシック"/>
      <family val="3"/>
    </font>
    <font>
      <sz val="11"/>
      <name val="HG丸ｺﾞｼｯｸM-PRO"/>
      <family val="3"/>
    </font>
    <font>
      <sz val="14"/>
      <name val="ＭＳ Ｐゴシック"/>
      <family val="3"/>
    </font>
    <font>
      <sz val="14"/>
      <color indexed="12"/>
      <name val="ＭＳ Ｐゴシック"/>
      <family val="3"/>
    </font>
    <font>
      <sz val="18"/>
      <color indexed="12"/>
      <name val="ＭＳ Ｐゴシック"/>
      <family val="3"/>
    </font>
    <font>
      <b/>
      <sz val="11"/>
      <color indexed="10"/>
      <name val="ＭＳ Ｐゴシック"/>
      <family val="3"/>
    </font>
    <font>
      <sz val="9"/>
      <name val="ＭＳ Ｐゴシック"/>
      <family val="3"/>
    </font>
    <font>
      <sz val="18"/>
      <name val="ＭＳ Ｐゴシック"/>
      <family val="3"/>
    </font>
    <font>
      <sz val="11"/>
      <color indexed="12"/>
      <name val="ＭＳ Ｐ明朝"/>
      <family val="1"/>
    </font>
    <font>
      <sz val="11"/>
      <color indexed="10"/>
      <name val="ＭＳ Ｐ明朝"/>
      <family val="1"/>
    </font>
    <font>
      <b/>
      <sz val="12"/>
      <color indexed="12"/>
      <name val="ＭＳ Ｐゴシック"/>
      <family val="3"/>
    </font>
    <font>
      <sz val="9"/>
      <color indexed="12"/>
      <name val="ＭＳ Ｐ明朝"/>
      <family val="1"/>
    </font>
    <font>
      <sz val="14"/>
      <color indexed="12"/>
      <name val="ＭＳ Ｐ明朝"/>
      <family val="1"/>
    </font>
    <font>
      <sz val="14"/>
      <name val="ＭＳ Ｐ明朝"/>
      <family val="1"/>
    </font>
    <font>
      <sz val="11"/>
      <name val="ＭＳ 明朝"/>
      <family val="1"/>
    </font>
    <font>
      <sz val="8"/>
      <name val="ＭＳ 明朝"/>
      <family val="1"/>
    </font>
    <font>
      <b/>
      <sz val="18"/>
      <color indexed="12"/>
      <name val="ＭＳ Ｐゴシック"/>
      <family val="3"/>
    </font>
    <font>
      <b/>
      <sz val="18"/>
      <name val="ＭＳ Ｐ明朝"/>
      <family val="1"/>
    </font>
    <font>
      <b/>
      <sz val="18"/>
      <name val="ＭＳ Ｐゴシック"/>
      <family val="3"/>
    </font>
    <font>
      <sz val="6"/>
      <name val="ＭＳ 明朝"/>
      <family val="1"/>
    </font>
    <font>
      <b/>
      <sz val="10"/>
      <color indexed="10"/>
      <name val="ＭＳ Ｐゴシック"/>
      <family val="3"/>
    </font>
    <font>
      <sz val="16"/>
      <color indexed="12"/>
      <name val="ＭＳ Ｐゴシック"/>
      <family val="3"/>
    </font>
    <font>
      <sz val="10"/>
      <name val="ＭＳ Ｐゴシック"/>
      <family val="3"/>
    </font>
    <font>
      <sz val="8"/>
      <name val="ＭＳ Ｐゴシック"/>
      <family val="3"/>
    </font>
    <font>
      <b/>
      <sz val="11"/>
      <color indexed="12"/>
      <name val="ＭＳ Ｐゴシック"/>
      <family val="3"/>
    </font>
    <font>
      <b/>
      <sz val="16"/>
      <color indexed="12"/>
      <name val="ＭＳ Ｐゴシック"/>
      <family val="3"/>
    </font>
    <font>
      <sz val="11"/>
      <color indexed="12"/>
      <name val="ＭＳ Ｐゴシック"/>
      <family val="3"/>
    </font>
    <font>
      <sz val="7"/>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
      <patternFill patternType="solid">
        <fgColor indexed="22"/>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color indexed="63"/>
      </top>
      <bottom style="thin"/>
    </border>
    <border>
      <left style="thin"/>
      <right style="hair"/>
      <top style="thin"/>
      <bottom style="thin"/>
    </border>
    <border>
      <left style="hair"/>
      <right style="hair"/>
      <top style="thin"/>
      <bottom style="thin"/>
    </border>
    <border>
      <left style="thin"/>
      <right style="hair"/>
      <top style="thin"/>
      <bottom style="double"/>
    </border>
    <border>
      <left style="hair"/>
      <right style="hair"/>
      <top style="thin"/>
      <bottom style="double"/>
    </border>
    <border>
      <left style="medium"/>
      <right style="hair"/>
      <top>
        <color indexed="63"/>
      </top>
      <bottom style="medium"/>
    </border>
    <border>
      <left style="hair"/>
      <right style="hair"/>
      <top>
        <color indexed="63"/>
      </top>
      <bottom style="medium"/>
    </border>
    <border>
      <left style="hair"/>
      <right style="thin"/>
      <top>
        <color indexed="63"/>
      </top>
      <bottom style="thin"/>
    </border>
    <border>
      <left style="hair"/>
      <right style="thin"/>
      <top style="thin"/>
      <bottom style="thin"/>
    </border>
    <border>
      <left style="hair"/>
      <right style="thin"/>
      <top style="thin"/>
      <bottom style="double"/>
    </border>
    <border>
      <left style="hair"/>
      <right style="medium"/>
      <top>
        <color indexed="63"/>
      </top>
      <bottom style="medium"/>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dotted"/>
    </border>
    <border>
      <left style="thin"/>
      <right style="thin"/>
      <top style="dotted"/>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dotted"/>
    </border>
    <border>
      <left>
        <color indexed="63"/>
      </left>
      <right style="thin"/>
      <top style="thin"/>
      <bottom style="thin"/>
    </border>
    <border>
      <left style="thin"/>
      <right style="thin"/>
      <top>
        <color indexed="63"/>
      </top>
      <bottom style="dotted"/>
    </border>
    <border>
      <left style="thin"/>
      <right>
        <color indexed="63"/>
      </right>
      <top style="thin"/>
      <bottom style="dotted"/>
    </border>
    <border>
      <left style="thin"/>
      <right>
        <color indexed="63"/>
      </right>
      <top style="dotted"/>
      <bottom style="thin"/>
    </border>
    <border>
      <left>
        <color indexed="63"/>
      </left>
      <right>
        <color indexed="63"/>
      </right>
      <top style="thin"/>
      <bottom style="dotted"/>
    </border>
    <border>
      <left>
        <color indexed="63"/>
      </left>
      <right>
        <color indexed="63"/>
      </right>
      <top style="dotted"/>
      <bottom style="thin"/>
    </border>
    <border>
      <left>
        <color indexed="63"/>
      </left>
      <right>
        <color indexed="63"/>
      </right>
      <top style="dotted"/>
      <bottom>
        <color indexed="63"/>
      </bottom>
    </border>
    <border>
      <left>
        <color indexed="63"/>
      </left>
      <right style="thin"/>
      <top style="thin"/>
      <bottom style="dotted"/>
    </border>
    <border>
      <left style="thin"/>
      <right>
        <color indexed="63"/>
      </right>
      <top>
        <color indexed="63"/>
      </top>
      <bottom style="dotted"/>
    </border>
    <border>
      <left>
        <color indexed="63"/>
      </left>
      <right style="thin"/>
      <top style="dotted"/>
      <bottom style="thin"/>
    </border>
    <border>
      <left>
        <color indexed="63"/>
      </left>
      <right style="medium"/>
      <top>
        <color indexed="63"/>
      </top>
      <bottom style="thin"/>
    </border>
    <border>
      <left style="double"/>
      <right style="thin"/>
      <top style="thin"/>
      <bottom style="thin"/>
    </border>
    <border>
      <left style="thin"/>
      <right style="thin"/>
      <top style="thin"/>
      <bottom style="double"/>
    </border>
    <border>
      <left style="double"/>
      <right style="thin"/>
      <top>
        <color indexed="63"/>
      </top>
      <bottom style="medium"/>
    </border>
    <border>
      <left style="medium"/>
      <right style="medium"/>
      <top style="medium"/>
      <bottom style="medium"/>
    </border>
    <border>
      <left style="thin"/>
      <right style="double"/>
      <top style="thin"/>
      <bottom style="double"/>
    </border>
    <border>
      <left style="thin"/>
      <right style="double"/>
      <top style="thin"/>
      <bottom style="thin"/>
    </border>
    <border>
      <left style="thin"/>
      <right style="double"/>
      <top>
        <color indexed="63"/>
      </top>
      <bottom style="thin"/>
    </border>
    <border>
      <left style="double"/>
      <right style="medium"/>
      <top style="thin"/>
      <bottom style="thin"/>
    </border>
    <border>
      <left style="double"/>
      <right style="medium"/>
      <top style="thin"/>
      <bottom style="double"/>
    </border>
    <border>
      <left style="double"/>
      <right style="medium"/>
      <top style="double"/>
      <bottom style="thin"/>
    </border>
    <border>
      <left style="medium"/>
      <right style="medium"/>
      <top style="thin"/>
      <bottom style="thin"/>
    </border>
    <border>
      <left style="medium"/>
      <right style="medium"/>
      <top>
        <color indexed="63"/>
      </top>
      <bottom style="medium"/>
    </border>
    <border>
      <left style="medium"/>
      <right style="medium"/>
      <top style="medium"/>
      <bottom style="thin"/>
    </border>
    <border>
      <left>
        <color indexed="63"/>
      </left>
      <right>
        <color indexed="63"/>
      </right>
      <top style="medium"/>
      <bottom>
        <color indexed="63"/>
      </bottom>
    </border>
    <border>
      <left>
        <color indexed="63"/>
      </left>
      <right>
        <color indexed="63"/>
      </right>
      <top>
        <color indexed="63"/>
      </top>
      <bottom style="dotted"/>
    </border>
    <border>
      <left>
        <color indexed="63"/>
      </left>
      <right style="medium"/>
      <top style="medium"/>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medium"/>
    </border>
    <border>
      <left style="hair"/>
      <right style="hair"/>
      <top style="hair"/>
      <bottom style="hair"/>
    </border>
    <border>
      <left style="hair"/>
      <right style="thin"/>
      <top style="hair"/>
      <bottom style="hair"/>
    </border>
    <border>
      <left style="medium"/>
      <right>
        <color indexed="63"/>
      </right>
      <top style="medium"/>
      <bottom>
        <color indexed="63"/>
      </bottom>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color indexed="63"/>
      </left>
      <right style="thin"/>
      <top style="dotted"/>
      <bottom>
        <color indexed="63"/>
      </bottom>
    </border>
    <border>
      <left style="thin"/>
      <right>
        <color indexed="63"/>
      </right>
      <top>
        <color indexed="63"/>
      </top>
      <bottom style="medium"/>
    </border>
    <border>
      <left style="thin"/>
      <right>
        <color indexed="63"/>
      </right>
      <top style="dotted"/>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style="medium"/>
      <bottom>
        <color indexed="63"/>
      </bottom>
    </border>
    <border>
      <left>
        <color indexed="63"/>
      </left>
      <right style="medium"/>
      <top>
        <color indexed="63"/>
      </top>
      <bottom style="dotted"/>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9" fillId="0" borderId="0" applyNumberFormat="0" applyFill="0" applyBorder="0" applyAlignment="0" applyProtection="0"/>
    <xf numFmtId="0" fontId="76" fillId="32" borderId="0" applyNumberFormat="0" applyBorder="0" applyAlignment="0" applyProtection="0"/>
  </cellStyleXfs>
  <cellXfs count="533">
    <xf numFmtId="0" fontId="0" fillId="0" borderId="0" xfId="0" applyAlignment="1">
      <alignment/>
    </xf>
    <xf numFmtId="0" fontId="0" fillId="0" borderId="0" xfId="0" applyAlignment="1">
      <alignment vertical="center"/>
    </xf>
    <xf numFmtId="0" fontId="0" fillId="0" borderId="0" xfId="0" applyAlignment="1">
      <alignment horizontal="center"/>
    </xf>
    <xf numFmtId="0" fontId="4"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ill="1" applyAlignment="1" applyProtection="1">
      <alignment horizontal="center"/>
      <protection/>
    </xf>
    <xf numFmtId="14" fontId="0" fillId="0" borderId="0" xfId="0" applyNumberFormat="1" applyFill="1" applyAlignment="1" applyProtection="1">
      <alignment horizontal="center"/>
      <protection/>
    </xf>
    <xf numFmtId="0" fontId="0" fillId="0" borderId="0" xfId="0" applyNumberFormat="1" applyFill="1" applyAlignment="1" applyProtection="1">
      <alignment horizontal="center"/>
      <protection/>
    </xf>
    <xf numFmtId="49" fontId="0" fillId="0" borderId="0" xfId="0" applyNumberFormat="1" applyFill="1" applyAlignment="1" applyProtection="1">
      <alignment horizontal="center"/>
      <protection/>
    </xf>
    <xf numFmtId="0" fontId="0" fillId="0" borderId="0" xfId="0" applyNumberFormat="1" applyFill="1" applyAlignment="1" applyProtection="1">
      <alignment/>
      <protection/>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6" fontId="0" fillId="0" borderId="21" xfId="58" applyFont="1" applyBorder="1" applyAlignment="1">
      <alignment horizontal="center" vertical="center"/>
    </xf>
    <xf numFmtId="6" fontId="0" fillId="0" borderId="22" xfId="58"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6" fontId="0" fillId="0" borderId="30" xfId="58" applyFont="1" applyBorder="1" applyAlignment="1">
      <alignment horizontal="center" vertical="center"/>
    </xf>
    <xf numFmtId="6" fontId="0" fillId="0" borderId="31" xfId="58" applyFont="1" applyBorder="1" applyAlignment="1">
      <alignment horizontal="center" vertical="center"/>
    </xf>
    <xf numFmtId="6" fontId="0" fillId="0" borderId="32" xfId="58" applyFont="1" applyBorder="1" applyAlignment="1">
      <alignment horizontal="center" vertical="center"/>
    </xf>
    <xf numFmtId="6" fontId="0" fillId="0" borderId="33" xfId="58" applyFont="1" applyBorder="1" applyAlignment="1">
      <alignment horizontal="center"/>
    </xf>
    <xf numFmtId="0" fontId="0" fillId="33" borderId="34" xfId="0" applyFill="1" applyBorder="1" applyAlignment="1" applyProtection="1">
      <alignment horizontal="center"/>
      <protection/>
    </xf>
    <xf numFmtId="0" fontId="0" fillId="0" borderId="34" xfId="0" applyFill="1" applyBorder="1" applyAlignment="1" applyProtection="1">
      <alignment/>
      <protection/>
    </xf>
    <xf numFmtId="0" fontId="0" fillId="34" borderId="34" xfId="0" applyFill="1" applyBorder="1" applyAlignment="1" applyProtection="1">
      <alignment horizontal="center"/>
      <protection/>
    </xf>
    <xf numFmtId="49" fontId="1" fillId="34" borderId="34" xfId="0" applyNumberFormat="1" applyFont="1" applyFill="1" applyBorder="1" applyAlignment="1" applyProtection="1">
      <alignment horizontal="center"/>
      <protection/>
    </xf>
    <xf numFmtId="14" fontId="1" fillId="34" borderId="34" xfId="0" applyNumberFormat="1" applyFont="1" applyFill="1" applyBorder="1" applyAlignment="1" applyProtection="1">
      <alignment horizontal="center"/>
      <protection/>
    </xf>
    <xf numFmtId="0" fontId="1" fillId="34" borderId="34" xfId="0" applyNumberFormat="1" applyFont="1" applyFill="1" applyBorder="1" applyAlignment="1" applyProtection="1">
      <alignment horizontal="center"/>
      <protection/>
    </xf>
    <xf numFmtId="0" fontId="3" fillId="34" borderId="34" xfId="0" applyNumberFormat="1" applyFont="1" applyFill="1" applyBorder="1" applyAlignment="1" applyProtection="1">
      <alignment horizontal="center"/>
      <protection/>
    </xf>
    <xf numFmtId="0" fontId="11"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shrinkToFit="1"/>
      <protection/>
    </xf>
    <xf numFmtId="0" fontId="0" fillId="0" borderId="0" xfId="0" applyFill="1" applyBorder="1" applyAlignment="1" applyProtection="1">
      <alignment horizontal="center" vertical="center" shrinkToFit="1"/>
      <protection/>
    </xf>
    <xf numFmtId="0" fontId="0" fillId="0" borderId="0" xfId="0" applyNumberFormat="1" applyFill="1" applyBorder="1" applyAlignment="1" applyProtection="1">
      <alignment horizontal="center" vertical="center" shrinkToFit="1"/>
      <protection/>
    </xf>
    <xf numFmtId="0" fontId="0" fillId="0" borderId="0" xfId="0" applyNumberFormat="1" applyFill="1" applyBorder="1" applyAlignment="1" applyProtection="1">
      <alignment vertical="center" shrinkToFit="1"/>
      <protection/>
    </xf>
    <xf numFmtId="0" fontId="0" fillId="0" borderId="0" xfId="0" applyFill="1" applyBorder="1" applyAlignment="1" applyProtection="1">
      <alignment horizontal="center" vertical="center"/>
      <protection/>
    </xf>
    <xf numFmtId="0" fontId="0" fillId="0" borderId="0" xfId="0" applyBorder="1" applyAlignment="1" applyProtection="1">
      <alignment/>
      <protection/>
    </xf>
    <xf numFmtId="0" fontId="0" fillId="35" borderId="34" xfId="0" applyFill="1" applyBorder="1" applyAlignment="1" applyProtection="1">
      <alignment vertical="center" shrinkToFit="1"/>
      <protection/>
    </xf>
    <xf numFmtId="0" fontId="13" fillId="35" borderId="34" xfId="0" applyFont="1" applyFill="1" applyBorder="1" applyAlignment="1" applyProtection="1">
      <alignment horizontal="center" vertical="center" shrinkToFit="1"/>
      <protection/>
    </xf>
    <xf numFmtId="0" fontId="13" fillId="36" borderId="34" xfId="0" applyFont="1" applyFill="1" applyBorder="1" applyAlignment="1" applyProtection="1">
      <alignment horizontal="center" vertical="center" shrinkToFit="1"/>
      <protection/>
    </xf>
    <xf numFmtId="0" fontId="0" fillId="0" borderId="34" xfId="0" applyFill="1" applyBorder="1" applyAlignment="1" applyProtection="1">
      <alignment horizontal="center" vertical="center"/>
      <protection/>
    </xf>
    <xf numFmtId="0" fontId="0" fillId="0" borderId="34" xfId="0" applyFill="1" applyBorder="1" applyAlignment="1" applyProtection="1">
      <alignment horizontal="center" vertical="center" shrinkToFit="1"/>
      <protection/>
    </xf>
    <xf numFmtId="14" fontId="0" fillId="0" borderId="0" xfId="0" applyNumberFormat="1" applyFill="1" applyBorder="1" applyAlignment="1" applyProtection="1">
      <alignment/>
      <protection/>
    </xf>
    <xf numFmtId="0" fontId="0" fillId="0" borderId="0" xfId="0" applyNumberFormat="1" applyFill="1" applyBorder="1" applyAlignment="1" applyProtection="1">
      <alignment/>
      <protection/>
    </xf>
    <xf numFmtId="0" fontId="4" fillId="37" borderId="34" xfId="0" applyFont="1" applyFill="1" applyBorder="1" applyAlignment="1">
      <alignment horizontal="center" vertical="center" shrinkToFit="1"/>
    </xf>
    <xf numFmtId="0" fontId="0" fillId="0" borderId="34" xfId="0" applyBorder="1" applyAlignment="1">
      <alignment/>
    </xf>
    <xf numFmtId="20" fontId="0" fillId="0" borderId="34" xfId="0" applyNumberFormat="1" applyBorder="1" applyAlignment="1">
      <alignment/>
    </xf>
    <xf numFmtId="183" fontId="4" fillId="37" borderId="34" xfId="0" applyNumberFormat="1" applyFont="1" applyFill="1" applyBorder="1" applyAlignment="1">
      <alignment horizontal="center" vertical="center" shrinkToFit="1"/>
    </xf>
    <xf numFmtId="0" fontId="4"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6" fontId="0" fillId="0" borderId="37" xfId="58" applyFont="1" applyBorder="1" applyAlignment="1" applyProtection="1">
      <alignment horizontal="center" vertical="center"/>
      <protection locked="0"/>
    </xf>
    <xf numFmtId="6" fontId="0" fillId="0" borderId="25" xfId="58" applyFont="1" applyBorder="1" applyAlignment="1" applyProtection="1">
      <alignment horizontal="center" vertical="center"/>
      <protection locked="0"/>
    </xf>
    <xf numFmtId="6" fontId="0" fillId="0" borderId="27" xfId="58" applyFont="1" applyBorder="1" applyAlignment="1" applyProtection="1">
      <alignment horizontal="center" vertical="center"/>
      <protection locked="0"/>
    </xf>
    <xf numFmtId="0" fontId="0" fillId="0" borderId="38" xfId="0" applyBorder="1" applyAlignment="1" applyProtection="1">
      <alignment vertical="center" textRotation="255" shrinkToFit="1"/>
      <protection locked="0"/>
    </xf>
    <xf numFmtId="0" fontId="0" fillId="0" borderId="39" xfId="0" applyBorder="1" applyAlignment="1" applyProtection="1">
      <alignment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1" xfId="0" applyNumberFormat="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NumberFormat="1" applyAlignment="1" applyProtection="1">
      <alignment horizontal="center" vertical="center" shrinkToFit="1"/>
      <protection locked="0"/>
    </xf>
    <xf numFmtId="0" fontId="0" fillId="0" borderId="0" xfId="0" applyNumberFormat="1" applyFill="1" applyAlignment="1" applyProtection="1">
      <alignment vertical="center" shrinkToFit="1"/>
      <protection locked="0"/>
    </xf>
    <xf numFmtId="14" fontId="0" fillId="0" borderId="0" xfId="0" applyNumberFormat="1" applyAlignment="1">
      <alignment vertical="center"/>
    </xf>
    <xf numFmtId="0" fontId="4" fillId="0" borderId="11"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0" fillId="37" borderId="42" xfId="0" applyFill="1" applyBorder="1" applyAlignment="1" applyProtection="1">
      <alignment horizontal="center" vertical="center" shrinkToFit="1"/>
      <protection/>
    </xf>
    <xf numFmtId="0" fontId="0" fillId="37" borderId="43" xfId="0" applyFill="1" applyBorder="1" applyAlignment="1" applyProtection="1">
      <alignment horizontal="center" vertical="center" shrinkToFit="1"/>
      <protection/>
    </xf>
    <xf numFmtId="0" fontId="20" fillId="0" borderId="38" xfId="0" applyFont="1" applyFill="1" applyBorder="1" applyAlignment="1" applyProtection="1">
      <alignment horizontal="center" vertical="center" shrinkToFit="1"/>
      <protection locked="0"/>
    </xf>
    <xf numFmtId="14" fontId="20" fillId="0" borderId="34" xfId="0" applyNumberFormat="1" applyFont="1" applyFill="1" applyBorder="1" applyAlignment="1" applyProtection="1">
      <alignment horizontal="center" vertical="center" shrinkToFit="1"/>
      <protection locked="0"/>
    </xf>
    <xf numFmtId="0" fontId="20" fillId="0" borderId="34" xfId="0" applyFont="1" applyFill="1" applyBorder="1" applyAlignment="1" applyProtection="1">
      <alignment horizontal="center" vertical="center" shrinkToFit="1"/>
      <protection locked="0"/>
    </xf>
    <xf numFmtId="0" fontId="20" fillId="0" borderId="44" xfId="0" applyFont="1" applyFill="1" applyBorder="1" applyAlignment="1" applyProtection="1">
      <alignment horizontal="center" vertical="center" shrinkToFit="1"/>
      <protection locked="0"/>
    </xf>
    <xf numFmtId="20" fontId="20" fillId="0" borderId="34" xfId="0" applyNumberFormat="1" applyFont="1" applyFill="1" applyBorder="1" applyAlignment="1" applyProtection="1">
      <alignment horizontal="center" vertical="center" shrinkToFit="1"/>
      <protection locked="0"/>
    </xf>
    <xf numFmtId="0" fontId="20" fillId="0" borderId="43" xfId="0" applyFont="1" applyBorder="1" applyAlignment="1" applyProtection="1">
      <alignment horizontal="center" vertical="center" shrinkToFit="1"/>
      <protection locked="0"/>
    </xf>
    <xf numFmtId="0" fontId="20" fillId="0" borderId="45" xfId="0" applyFont="1" applyBorder="1" applyAlignment="1" applyProtection="1">
      <alignment horizontal="center" vertical="center" shrinkToFit="1"/>
      <protection locked="0"/>
    </xf>
    <xf numFmtId="0" fontId="20" fillId="0" borderId="0" xfId="0" applyFont="1" applyBorder="1" applyAlignment="1" applyProtection="1">
      <alignment vertical="center" shrinkToFit="1"/>
      <protection locked="0"/>
    </xf>
    <xf numFmtId="0" fontId="20" fillId="0" borderId="15" xfId="0" applyFont="1" applyBorder="1" applyAlignment="1" applyProtection="1">
      <alignment vertical="center" shrinkToFit="1"/>
      <protection locked="0"/>
    </xf>
    <xf numFmtId="0" fontId="20" fillId="0" borderId="42" xfId="0" applyNumberFormat="1" applyFont="1" applyBorder="1" applyAlignment="1" applyProtection="1">
      <alignment horizontal="center" vertical="center" shrinkToFit="1"/>
      <protection locked="0"/>
    </xf>
    <xf numFmtId="14" fontId="4" fillId="0" borderId="39" xfId="0" applyNumberFormat="1" applyFont="1" applyBorder="1" applyAlignment="1" applyProtection="1">
      <alignment vertical="center" shrinkToFit="1"/>
      <protection locked="0"/>
    </xf>
    <xf numFmtId="190" fontId="20" fillId="0" borderId="46" xfId="0" applyNumberFormat="1" applyFont="1" applyBorder="1" applyAlignment="1" applyProtection="1">
      <alignment horizontal="left" vertical="center" shrinkToFit="1"/>
      <protection locked="0"/>
    </xf>
    <xf numFmtId="0" fontId="0" fillId="0" borderId="34" xfId="0" applyNumberFormat="1" applyFill="1" applyBorder="1" applyAlignment="1" applyProtection="1">
      <alignment horizontal="center" vertical="center" shrinkToFit="1"/>
      <protection/>
    </xf>
    <xf numFmtId="6" fontId="0" fillId="0" borderId="29" xfId="58" applyFont="1" applyBorder="1" applyAlignment="1" applyProtection="1">
      <alignment horizontal="center"/>
      <protection locked="0"/>
    </xf>
    <xf numFmtId="0" fontId="13" fillId="38" borderId="34" xfId="0" applyFont="1" applyFill="1" applyBorder="1" applyAlignment="1" applyProtection="1">
      <alignment horizontal="center" vertical="center" shrinkToFit="1"/>
      <protection/>
    </xf>
    <xf numFmtId="0" fontId="13" fillId="38" borderId="44" xfId="0" applyFont="1" applyFill="1" applyBorder="1" applyAlignment="1" applyProtection="1">
      <alignment horizontal="center" vertical="center" shrinkToFit="1"/>
      <protection/>
    </xf>
    <xf numFmtId="0" fontId="0" fillId="38" borderId="0" xfId="0" applyFill="1" applyBorder="1" applyAlignment="1" applyProtection="1">
      <alignment horizontal="center"/>
      <protection/>
    </xf>
    <xf numFmtId="0" fontId="17" fillId="0" borderId="11" xfId="0" applyFont="1" applyFill="1" applyBorder="1" applyAlignment="1" applyProtection="1">
      <alignment vertical="center" shrinkToFit="1"/>
      <protection/>
    </xf>
    <xf numFmtId="0" fontId="17" fillId="0" borderId="0" xfId="0" applyFont="1" applyFill="1" applyBorder="1" applyAlignment="1" applyProtection="1">
      <alignment vertical="center" shrinkToFit="1"/>
      <protection/>
    </xf>
    <xf numFmtId="0" fontId="20" fillId="0" borderId="42" xfId="0" applyNumberFormat="1" applyFont="1" applyFill="1" applyBorder="1" applyAlignment="1" applyProtection="1">
      <alignment horizontal="center" vertical="center" shrinkToFit="1"/>
      <protection locked="0"/>
    </xf>
    <xf numFmtId="0" fontId="20" fillId="0" borderId="45" xfId="0" applyFont="1" applyFill="1" applyBorder="1" applyAlignment="1" applyProtection="1">
      <alignment horizontal="center" vertical="center" shrinkToFit="1"/>
      <protection locked="0"/>
    </xf>
    <xf numFmtId="0" fontId="4" fillId="0" borderId="11" xfId="0" applyFont="1" applyFill="1" applyBorder="1" applyAlignment="1" applyProtection="1">
      <alignment vertical="center" shrinkToFit="1"/>
      <protection locked="0"/>
    </xf>
    <xf numFmtId="0" fontId="20" fillId="0" borderId="0" xfId="0" applyFont="1" applyFill="1" applyBorder="1" applyAlignment="1" applyProtection="1">
      <alignment vertical="center" shrinkToFit="1"/>
      <protection locked="0"/>
    </xf>
    <xf numFmtId="0" fontId="4" fillId="0" borderId="0" xfId="0" applyFont="1" applyFill="1" applyBorder="1" applyAlignment="1" applyProtection="1">
      <alignment vertical="center" shrinkToFit="1"/>
      <protection locked="0"/>
    </xf>
    <xf numFmtId="0" fontId="20" fillId="0" borderId="15" xfId="0" applyFont="1" applyFill="1" applyBorder="1" applyAlignment="1" applyProtection="1">
      <alignment vertical="center" shrinkToFit="1"/>
      <protection locked="0"/>
    </xf>
    <xf numFmtId="0" fontId="20" fillId="0" borderId="43"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20" fillId="0" borderId="41" xfId="0" applyFont="1" applyBorder="1" applyAlignment="1" applyProtection="1">
      <alignment horizontal="left" vertical="center" shrinkToFit="1"/>
      <protection locked="0"/>
    </xf>
    <xf numFmtId="0" fontId="20" fillId="0" borderId="47" xfId="0" applyFont="1" applyBorder="1" applyAlignment="1" applyProtection="1">
      <alignment horizontal="left" vertical="center" shrinkToFit="1"/>
      <protection locked="0"/>
    </xf>
    <xf numFmtId="0" fontId="20" fillId="0" borderId="47" xfId="0" applyFont="1" applyFill="1" applyBorder="1" applyAlignment="1" applyProtection="1">
      <alignment horizontal="left" vertical="center" shrinkToFit="1"/>
      <protection locked="0"/>
    </xf>
    <xf numFmtId="0" fontId="20" fillId="0" borderId="41" xfId="0" applyFont="1" applyFill="1" applyBorder="1" applyAlignment="1" applyProtection="1">
      <alignment horizontal="left" vertical="center" shrinkToFit="1"/>
      <protection locked="0"/>
    </xf>
    <xf numFmtId="192" fontId="20" fillId="0" borderId="44" xfId="0" applyNumberFormat="1" applyFont="1" applyBorder="1" applyAlignment="1" applyProtection="1">
      <alignment vertical="center" shrinkToFit="1"/>
      <protection locked="0"/>
    </xf>
    <xf numFmtId="190" fontId="20" fillId="0" borderId="42" xfId="0" applyNumberFormat="1" applyFont="1" applyBorder="1" applyAlignment="1" applyProtection="1">
      <alignment vertical="center" shrinkToFit="1"/>
      <protection locked="0"/>
    </xf>
    <xf numFmtId="192" fontId="20" fillId="0" borderId="44" xfId="0" applyNumberFormat="1" applyFont="1" applyFill="1" applyBorder="1" applyAlignment="1" applyProtection="1">
      <alignment vertical="center" shrinkToFit="1"/>
      <protection locked="0"/>
    </xf>
    <xf numFmtId="190" fontId="20" fillId="0" borderId="43" xfId="0" applyNumberFormat="1" applyFont="1" applyBorder="1" applyAlignment="1" applyProtection="1">
      <alignment vertical="center" shrinkToFit="1"/>
      <protection locked="0"/>
    </xf>
    <xf numFmtId="190" fontId="20" fillId="0" borderId="43" xfId="0" applyNumberFormat="1" applyFont="1" applyFill="1" applyBorder="1" applyAlignment="1" applyProtection="1">
      <alignment vertical="center" shrinkToFit="1"/>
      <protection locked="0"/>
    </xf>
    <xf numFmtId="0" fontId="0" fillId="0" borderId="48" xfId="0" applyBorder="1" applyAlignment="1" applyProtection="1">
      <alignment horizontal="left" vertical="center" shrinkToFit="1"/>
      <protection locked="0"/>
    </xf>
    <xf numFmtId="0" fontId="0" fillId="0" borderId="49" xfId="0" applyBorder="1" applyAlignment="1" applyProtection="1">
      <alignment horizontal="left" vertical="center" shrinkToFit="1"/>
      <protection locked="0"/>
    </xf>
    <xf numFmtId="0" fontId="0" fillId="0" borderId="48" xfId="0" applyFill="1" applyBorder="1" applyAlignment="1" applyProtection="1">
      <alignment horizontal="left" vertical="center" shrinkToFit="1"/>
      <protection locked="0"/>
    </xf>
    <xf numFmtId="0" fontId="0" fillId="0" borderId="49" xfId="0" applyFill="1" applyBorder="1" applyAlignment="1" applyProtection="1">
      <alignment horizontal="left" vertical="center" shrinkToFit="1"/>
      <protection locked="0"/>
    </xf>
    <xf numFmtId="0" fontId="0" fillId="0" borderId="39" xfId="0" applyBorder="1" applyAlignment="1" applyProtection="1">
      <alignment horizontal="left" vertical="center" shrinkToFit="1"/>
      <protection locked="0"/>
    </xf>
    <xf numFmtId="0" fontId="20" fillId="0" borderId="50" xfId="0" applyFont="1" applyBorder="1" applyAlignment="1" applyProtection="1">
      <alignment horizontal="left" vertical="center" shrinkToFit="1"/>
      <protection locked="0"/>
    </xf>
    <xf numFmtId="0" fontId="20" fillId="0" borderId="51" xfId="0" applyFont="1" applyBorder="1" applyAlignment="1" applyProtection="1">
      <alignment horizontal="left" vertical="center" shrinkToFit="1"/>
      <protection locked="0"/>
    </xf>
    <xf numFmtId="0" fontId="20" fillId="0" borderId="50" xfId="0" applyFont="1" applyFill="1" applyBorder="1" applyAlignment="1" applyProtection="1">
      <alignment horizontal="left" vertical="center" shrinkToFit="1"/>
      <protection locked="0"/>
    </xf>
    <xf numFmtId="0" fontId="20" fillId="0" borderId="51" xfId="0" applyFont="1" applyFill="1"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0" xfId="0" applyBorder="1" applyAlignment="1" applyProtection="1">
      <alignment vertical="center" shrinkToFit="1"/>
      <protection locked="0"/>
    </xf>
    <xf numFmtId="0" fontId="0" fillId="0" borderId="10" xfId="0" applyNumberFormat="1" applyBorder="1" applyAlignment="1" applyProtection="1">
      <alignment horizontal="center" vertical="center" shrinkToFit="1"/>
      <protection locked="0"/>
    </xf>
    <xf numFmtId="0" fontId="0" fillId="0" borderId="10" xfId="0" applyNumberFormat="1" applyFill="1" applyBorder="1" applyAlignment="1" applyProtection="1">
      <alignment vertical="center" shrinkToFit="1"/>
      <protection locked="0"/>
    </xf>
    <xf numFmtId="0" fontId="3" fillId="34" borderId="34" xfId="0" applyNumberFormat="1" applyFont="1" applyFill="1" applyBorder="1" applyAlignment="1" applyProtection="1">
      <alignment horizontal="center" wrapText="1"/>
      <protection/>
    </xf>
    <xf numFmtId="0" fontId="20" fillId="0" borderId="40" xfId="0" applyFont="1" applyBorder="1" applyAlignment="1" applyProtection="1">
      <alignment horizontal="left" shrinkToFit="1"/>
      <protection locked="0"/>
    </xf>
    <xf numFmtId="192" fontId="20" fillId="0" borderId="44" xfId="0" applyNumberFormat="1" applyFont="1" applyBorder="1" applyAlignment="1" applyProtection="1">
      <alignment shrinkToFit="1"/>
      <protection locked="0"/>
    </xf>
    <xf numFmtId="0" fontId="0" fillId="0" borderId="48" xfId="0" applyBorder="1" applyAlignment="1" applyProtection="1">
      <alignment horizontal="left" shrinkToFit="1"/>
      <protection locked="0"/>
    </xf>
    <xf numFmtId="0" fontId="20" fillId="0" borderId="50" xfId="0" applyFont="1" applyBorder="1" applyAlignment="1" applyProtection="1">
      <alignment horizontal="left" shrinkToFit="1"/>
      <protection locked="0"/>
    </xf>
    <xf numFmtId="0" fontId="20" fillId="0" borderId="53" xfId="0" applyFont="1" applyBorder="1" applyAlignment="1" applyProtection="1">
      <alignment horizontal="center" shrinkToFit="1"/>
      <protection locked="0"/>
    </xf>
    <xf numFmtId="0" fontId="4" fillId="0" borderId="35" xfId="0" applyFont="1" applyBorder="1" applyAlignment="1" applyProtection="1">
      <alignment shrinkToFit="1"/>
      <protection locked="0"/>
    </xf>
    <xf numFmtId="0" fontId="20" fillId="0" borderId="13" xfId="0" applyFont="1" applyBorder="1" applyAlignment="1" applyProtection="1">
      <alignment shrinkToFit="1"/>
      <protection locked="0"/>
    </xf>
    <xf numFmtId="0" fontId="4" fillId="0" borderId="13" xfId="0" applyFont="1" applyBorder="1" applyAlignment="1" applyProtection="1">
      <alignment shrinkToFit="1"/>
      <protection locked="0"/>
    </xf>
    <xf numFmtId="0" fontId="20" fillId="0" borderId="14" xfId="0" applyFont="1" applyBorder="1" applyAlignment="1" applyProtection="1">
      <alignment shrinkToFit="1"/>
      <protection locked="0"/>
    </xf>
    <xf numFmtId="0" fontId="20" fillId="0" borderId="44" xfId="0" applyFont="1" applyBorder="1" applyAlignment="1" applyProtection="1">
      <alignment horizontal="center" shrinkToFit="1"/>
      <protection locked="0"/>
    </xf>
    <xf numFmtId="0" fontId="0" fillId="0" borderId="0" xfId="0" applyAlignment="1" applyProtection="1">
      <alignment shrinkToFit="1"/>
      <protection locked="0"/>
    </xf>
    <xf numFmtId="0" fontId="20" fillId="0" borderId="47" xfId="0" applyFont="1" applyBorder="1" applyAlignment="1" applyProtection="1">
      <alignment horizontal="left" shrinkToFit="1"/>
      <protection locked="0"/>
    </xf>
    <xf numFmtId="0" fontId="0" fillId="0" borderId="54" xfId="0" applyBorder="1" applyAlignment="1" applyProtection="1">
      <alignment horizontal="left" shrinkToFit="1"/>
      <protection locked="0"/>
    </xf>
    <xf numFmtId="0" fontId="20" fillId="0" borderId="45" xfId="0" applyFont="1" applyBorder="1" applyAlignment="1" applyProtection="1">
      <alignment horizontal="center" shrinkToFit="1"/>
      <protection locked="0"/>
    </xf>
    <xf numFmtId="0" fontId="4" fillId="0" borderId="11" xfId="0" applyFont="1" applyBorder="1" applyAlignment="1" applyProtection="1">
      <alignment shrinkToFit="1"/>
      <protection locked="0"/>
    </xf>
    <xf numFmtId="0" fontId="20" fillId="0" borderId="0" xfId="0" applyFont="1" applyBorder="1" applyAlignment="1" applyProtection="1">
      <alignment shrinkToFit="1"/>
      <protection locked="0"/>
    </xf>
    <xf numFmtId="0" fontId="4" fillId="0" borderId="0" xfId="0" applyFont="1" applyBorder="1" applyAlignment="1" applyProtection="1">
      <alignment shrinkToFit="1"/>
      <protection locked="0"/>
    </xf>
    <xf numFmtId="0" fontId="20" fillId="0" borderId="15" xfId="0" applyFont="1" applyBorder="1" applyAlignment="1" applyProtection="1">
      <alignment shrinkToFit="1"/>
      <protection locked="0"/>
    </xf>
    <xf numFmtId="0" fontId="20" fillId="0" borderId="43" xfId="0" applyFont="1" applyBorder="1" applyAlignment="1" applyProtection="1">
      <alignment horizontal="center" shrinkToFit="1"/>
      <protection locked="0"/>
    </xf>
    <xf numFmtId="0" fontId="20" fillId="0" borderId="47" xfId="0" applyFont="1" applyFill="1" applyBorder="1" applyAlignment="1" applyProtection="1">
      <alignment horizontal="left" shrinkToFit="1"/>
      <protection locked="0"/>
    </xf>
    <xf numFmtId="192" fontId="20" fillId="0" borderId="44" xfId="0" applyNumberFormat="1" applyFont="1" applyFill="1" applyBorder="1" applyAlignment="1" applyProtection="1">
      <alignment shrinkToFit="1"/>
      <protection locked="0"/>
    </xf>
    <xf numFmtId="0" fontId="0" fillId="0" borderId="48" xfId="0" applyFill="1" applyBorder="1" applyAlignment="1" applyProtection="1">
      <alignment horizontal="left" shrinkToFit="1"/>
      <protection locked="0"/>
    </xf>
    <xf numFmtId="0" fontId="20" fillId="0" borderId="50" xfId="0" applyFont="1" applyFill="1" applyBorder="1" applyAlignment="1" applyProtection="1">
      <alignment horizontal="left" shrinkToFit="1"/>
      <protection locked="0"/>
    </xf>
    <xf numFmtId="0" fontId="20" fillId="0" borderId="45" xfId="0" applyFont="1" applyFill="1" applyBorder="1" applyAlignment="1" applyProtection="1">
      <alignment horizontal="center" shrinkToFit="1"/>
      <protection locked="0"/>
    </xf>
    <xf numFmtId="0" fontId="4" fillId="0" borderId="11" xfId="0" applyFont="1" applyFill="1" applyBorder="1" applyAlignment="1" applyProtection="1">
      <alignment shrinkToFit="1"/>
      <protection locked="0"/>
    </xf>
    <xf numFmtId="0" fontId="20" fillId="0" borderId="0" xfId="0" applyFont="1" applyFill="1" applyBorder="1" applyAlignment="1" applyProtection="1">
      <alignment shrinkToFit="1"/>
      <protection locked="0"/>
    </xf>
    <xf numFmtId="0" fontId="4" fillId="0" borderId="0" xfId="0" applyFont="1" applyFill="1" applyBorder="1" applyAlignment="1" applyProtection="1">
      <alignment shrinkToFit="1"/>
      <protection locked="0"/>
    </xf>
    <xf numFmtId="0" fontId="20" fillId="0" borderId="15" xfId="0" applyFont="1" applyFill="1" applyBorder="1" applyAlignment="1" applyProtection="1">
      <alignment shrinkToFit="1"/>
      <protection locked="0"/>
    </xf>
    <xf numFmtId="0" fontId="20" fillId="0" borderId="43" xfId="0" applyFont="1" applyFill="1" applyBorder="1" applyAlignment="1" applyProtection="1">
      <alignment horizontal="center" shrinkToFit="1"/>
      <protection locked="0"/>
    </xf>
    <xf numFmtId="0" fontId="0" fillId="0" borderId="0" xfId="0" applyFill="1" applyAlignment="1" applyProtection="1">
      <alignment shrinkToFit="1"/>
      <protection locked="0"/>
    </xf>
    <xf numFmtId="0" fontId="4" fillId="0" borderId="0" xfId="0" applyFont="1" applyBorder="1" applyAlignment="1" applyProtection="1">
      <alignment horizontal="left" vertical="center"/>
      <protection/>
    </xf>
    <xf numFmtId="0" fontId="15" fillId="0" borderId="0" xfId="0" applyFont="1" applyBorder="1" applyAlignment="1" applyProtection="1">
      <alignment horizontal="left" vertical="center" shrinkToFit="1"/>
      <protection/>
    </xf>
    <xf numFmtId="0" fontId="1" fillId="0" borderId="0"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4" fillId="0" borderId="55" xfId="0" applyFont="1" applyBorder="1" applyAlignment="1" applyProtection="1">
      <alignment horizontal="center" vertical="center" shrinkToFit="1"/>
      <protection locked="0"/>
    </xf>
    <xf numFmtId="0" fontId="24" fillId="0" borderId="55" xfId="0" applyFont="1" applyFill="1" applyBorder="1" applyAlignment="1" applyProtection="1">
      <alignment horizontal="center" vertical="center" shrinkToFit="1"/>
      <protection locked="0"/>
    </xf>
    <xf numFmtId="0" fontId="26" fillId="0" borderId="10" xfId="0" applyFont="1" applyBorder="1" applyAlignment="1" applyProtection="1">
      <alignment vertical="center"/>
      <protection/>
    </xf>
    <xf numFmtId="0" fontId="26" fillId="0" borderId="56" xfId="0" applyFont="1" applyBorder="1" applyAlignment="1" applyProtection="1">
      <alignment vertical="center"/>
      <protection/>
    </xf>
    <xf numFmtId="0" fontId="26" fillId="0" borderId="10" xfId="0" applyFont="1" applyBorder="1" applyAlignment="1" applyProtection="1">
      <alignment vertical="center" shrinkToFit="1"/>
      <protection/>
    </xf>
    <xf numFmtId="0" fontId="13" fillId="37" borderId="34" xfId="0" applyFont="1" applyFill="1" applyBorder="1" applyAlignment="1" applyProtection="1">
      <alignment horizontal="center" vertical="center" shrinkToFit="1"/>
      <protection/>
    </xf>
    <xf numFmtId="0" fontId="0" fillId="37" borderId="34" xfId="0" applyFill="1" applyBorder="1" applyAlignment="1" applyProtection="1">
      <alignment horizontal="center" vertical="center" shrinkToFit="1"/>
      <protection/>
    </xf>
    <xf numFmtId="0" fontId="4" fillId="0" borderId="13" xfId="0" applyFont="1" applyFill="1" applyBorder="1" applyAlignment="1" applyProtection="1">
      <alignment vertical="center"/>
      <protection/>
    </xf>
    <xf numFmtId="0" fontId="3" fillId="33" borderId="34" xfId="0" applyNumberFormat="1" applyFont="1" applyFill="1" applyBorder="1" applyAlignment="1" applyProtection="1">
      <alignment horizontal="center" wrapText="1"/>
      <protection/>
    </xf>
    <xf numFmtId="0" fontId="0" fillId="0" borderId="34" xfId="0" applyFill="1" applyBorder="1" applyAlignment="1" applyProtection="1">
      <alignment horizontal="center"/>
      <protection/>
    </xf>
    <xf numFmtId="0" fontId="0" fillId="0" borderId="57" xfId="0" applyFill="1" applyBorder="1" applyAlignment="1" applyProtection="1">
      <alignment/>
      <protection/>
    </xf>
    <xf numFmtId="0" fontId="0" fillId="0" borderId="58" xfId="0" applyFill="1" applyBorder="1" applyAlignment="1" applyProtection="1">
      <alignment horizontal="center"/>
      <protection/>
    </xf>
    <xf numFmtId="0" fontId="0" fillId="0" borderId="58" xfId="0" applyFill="1" applyBorder="1" applyAlignment="1" applyProtection="1">
      <alignment/>
      <protection/>
    </xf>
    <xf numFmtId="0" fontId="0" fillId="0" borderId="59" xfId="0" applyFill="1" applyBorder="1" applyAlignment="1" applyProtection="1">
      <alignment/>
      <protection/>
    </xf>
    <xf numFmtId="0" fontId="0" fillId="0" borderId="42" xfId="0" applyFill="1" applyBorder="1" applyAlignment="1" applyProtection="1">
      <alignment horizontal="center"/>
      <protection/>
    </xf>
    <xf numFmtId="0" fontId="0" fillId="0" borderId="42" xfId="0" applyFill="1" applyBorder="1" applyAlignment="1" applyProtection="1">
      <alignment/>
      <protection/>
    </xf>
    <xf numFmtId="0" fontId="0" fillId="0" borderId="60" xfId="0" applyFill="1" applyBorder="1" applyAlignment="1" applyProtection="1">
      <alignment/>
      <protection/>
    </xf>
    <xf numFmtId="0" fontId="0" fillId="0" borderId="61" xfId="0" applyFill="1" applyBorder="1" applyAlignment="1" applyProtection="1">
      <alignment/>
      <protection/>
    </xf>
    <xf numFmtId="0" fontId="0" fillId="0" borderId="62" xfId="0" applyFill="1" applyBorder="1" applyAlignment="1" applyProtection="1">
      <alignment/>
      <protection/>
    </xf>
    <xf numFmtId="0" fontId="0" fillId="0" borderId="62" xfId="0" applyFill="1" applyBorder="1" applyAlignment="1" applyProtection="1">
      <alignment horizontal="center"/>
      <protection/>
    </xf>
    <xf numFmtId="0" fontId="0" fillId="0" borderId="63" xfId="0" applyFill="1" applyBorder="1" applyAlignment="1" applyProtection="1">
      <alignment/>
      <protection/>
    </xf>
    <xf numFmtId="0" fontId="0" fillId="0" borderId="64" xfId="0" applyFill="1" applyBorder="1" applyAlignment="1" applyProtection="1">
      <alignment horizontal="center"/>
      <protection/>
    </xf>
    <xf numFmtId="0" fontId="0" fillId="0" borderId="64" xfId="0" applyFill="1" applyBorder="1" applyAlignment="1" applyProtection="1">
      <alignment/>
      <protection/>
    </xf>
    <xf numFmtId="0" fontId="0" fillId="0" borderId="65" xfId="0" applyFill="1" applyBorder="1" applyAlignment="1" applyProtection="1">
      <alignment/>
      <protection/>
    </xf>
    <xf numFmtId="0" fontId="0" fillId="0" borderId="66" xfId="0" applyFill="1" applyBorder="1" applyAlignment="1" applyProtection="1">
      <alignment/>
      <protection/>
    </xf>
    <xf numFmtId="0" fontId="0" fillId="0" borderId="67" xfId="0" applyFill="1" applyBorder="1" applyAlignment="1" applyProtection="1">
      <alignment/>
      <protection/>
    </xf>
    <xf numFmtId="0" fontId="0" fillId="0" borderId="68" xfId="0" applyFill="1" applyBorder="1" applyAlignment="1" applyProtection="1">
      <alignment/>
      <protection/>
    </xf>
    <xf numFmtId="0" fontId="0" fillId="0" borderId="69" xfId="0" applyFill="1" applyBorder="1" applyAlignment="1" applyProtection="1">
      <alignment horizontal="center"/>
      <protection/>
    </xf>
    <xf numFmtId="0" fontId="20" fillId="0" borderId="34" xfId="0" applyFont="1" applyFill="1" applyBorder="1" applyAlignment="1" applyProtection="1">
      <alignment horizontal="center" vertical="center"/>
      <protection locked="0"/>
    </xf>
    <xf numFmtId="0" fontId="0" fillId="0" borderId="57" xfId="0" applyFill="1" applyBorder="1" applyAlignment="1" applyProtection="1">
      <alignment horizontal="center"/>
      <protection/>
    </xf>
    <xf numFmtId="0" fontId="0" fillId="0" borderId="10" xfId="0" applyFill="1" applyBorder="1" applyAlignment="1" applyProtection="1">
      <alignment/>
      <protection/>
    </xf>
    <xf numFmtId="49" fontId="3" fillId="34" borderId="34" xfId="0" applyNumberFormat="1" applyFont="1" applyFill="1" applyBorder="1" applyAlignment="1" applyProtection="1">
      <alignment horizontal="center" wrapText="1"/>
      <protection/>
    </xf>
    <xf numFmtId="20" fontId="20" fillId="0" borderId="44" xfId="0" applyNumberFormat="1" applyFont="1" applyFill="1" applyBorder="1" applyAlignment="1" applyProtection="1">
      <alignment horizontal="center" vertical="center" shrinkToFit="1"/>
      <protection locked="0"/>
    </xf>
    <xf numFmtId="0" fontId="0" fillId="34" borderId="34" xfId="0" applyFill="1" applyBorder="1" applyAlignment="1" applyProtection="1">
      <alignment horizontal="center" vertical="center"/>
      <protection/>
    </xf>
    <xf numFmtId="49" fontId="0" fillId="34" borderId="34" xfId="0" applyNumberFormat="1" applyFont="1" applyFill="1" applyBorder="1" applyAlignment="1" applyProtection="1">
      <alignment horizontal="center" vertical="center" shrinkToFit="1"/>
      <protection/>
    </xf>
    <xf numFmtId="14" fontId="0" fillId="34" borderId="34" xfId="0" applyNumberFormat="1" applyFont="1" applyFill="1" applyBorder="1" applyAlignment="1" applyProtection="1">
      <alignment horizontal="center" vertical="center" shrinkToFit="1"/>
      <protection/>
    </xf>
    <xf numFmtId="49" fontId="0" fillId="34" borderId="34" xfId="0" applyNumberFormat="1" applyFont="1" applyFill="1" applyBorder="1" applyAlignment="1" applyProtection="1">
      <alignment horizontal="left" vertical="center" shrinkToFit="1"/>
      <protection/>
    </xf>
    <xf numFmtId="0" fontId="0" fillId="34" borderId="34" xfId="0" applyNumberFormat="1" applyFont="1" applyFill="1" applyBorder="1" applyAlignment="1" applyProtection="1">
      <alignment horizontal="center" vertical="center" shrinkToFit="1"/>
      <protection/>
    </xf>
    <xf numFmtId="0" fontId="0" fillId="33" borderId="34" xfId="0" applyNumberFormat="1" applyFont="1" applyFill="1" applyBorder="1" applyAlignment="1" applyProtection="1">
      <alignment horizontal="center" vertical="center" shrinkToFit="1"/>
      <protection/>
    </xf>
    <xf numFmtId="0" fontId="0" fillId="33" borderId="34" xfId="0" applyFill="1" applyBorder="1" applyAlignment="1" applyProtection="1">
      <alignment horizontal="center" vertical="center"/>
      <protection/>
    </xf>
    <xf numFmtId="0" fontId="0" fillId="0" borderId="34" xfId="0" applyFill="1" applyBorder="1" applyAlignment="1" applyProtection="1">
      <alignment vertical="center"/>
      <protection/>
    </xf>
    <xf numFmtId="0" fontId="0" fillId="0" borderId="34" xfId="0" applyFill="1" applyBorder="1" applyAlignment="1" applyProtection="1">
      <alignment horizontal="left" vertical="center" shrinkToFit="1"/>
      <protection locked="0"/>
    </xf>
    <xf numFmtId="49" fontId="0" fillId="0" borderId="34" xfId="0" applyNumberFormat="1" applyFont="1" applyFill="1" applyBorder="1" applyAlignment="1" applyProtection="1">
      <alignment horizontal="left"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protection locked="0"/>
    </xf>
    <xf numFmtId="14" fontId="0" fillId="0" borderId="34"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xf>
    <xf numFmtId="0" fontId="0" fillId="0" borderId="0" xfId="0" applyFill="1" applyAlignment="1" applyProtection="1">
      <alignment vertical="center"/>
      <protection/>
    </xf>
    <xf numFmtId="49" fontId="0" fillId="0" borderId="34" xfId="0" applyNumberFormat="1" applyFont="1" applyFill="1" applyBorder="1" applyAlignment="1" applyProtection="1">
      <alignment horizontal="left" vertical="center" wrapText="1"/>
      <protection locked="0"/>
    </xf>
    <xf numFmtId="49" fontId="0" fillId="0" borderId="34" xfId="0" applyNumberFormat="1" applyFont="1" applyFill="1" applyBorder="1" applyAlignment="1" applyProtection="1">
      <alignment horizontal="left" vertical="center"/>
      <protection locked="0"/>
    </xf>
    <xf numFmtId="0" fontId="0" fillId="0" borderId="0" xfId="0" applyNumberFormat="1" applyFill="1" applyAlignment="1" applyProtection="1">
      <alignment/>
      <protection/>
    </xf>
    <xf numFmtId="0" fontId="0" fillId="34" borderId="34" xfId="0" applyNumberFormat="1" applyFont="1" applyFill="1" applyBorder="1" applyAlignment="1" applyProtection="1">
      <alignment horizontal="left" vertical="center" wrapText="1"/>
      <protection/>
    </xf>
    <xf numFmtId="0" fontId="0" fillId="0" borderId="18" xfId="0" applyBorder="1" applyAlignment="1">
      <alignment horizontal="center" vertical="center" shrinkToFit="1"/>
    </xf>
    <xf numFmtId="0" fontId="0" fillId="0" borderId="34" xfId="0" applyNumberFormat="1" applyFont="1" applyFill="1" applyBorder="1" applyAlignment="1" applyProtection="1">
      <alignment horizontal="center" vertical="center" shrinkToFit="1"/>
      <protection/>
    </xf>
    <xf numFmtId="0" fontId="0" fillId="0" borderId="34" xfId="0" applyFill="1" applyBorder="1" applyAlignment="1" applyProtection="1">
      <alignment/>
      <protection locked="0"/>
    </xf>
    <xf numFmtId="0" fontId="4" fillId="0" borderId="70" xfId="0" applyFont="1" applyBorder="1" applyAlignment="1" applyProtection="1">
      <alignment horizontal="center" vertical="center"/>
      <protection/>
    </xf>
    <xf numFmtId="0" fontId="0" fillId="34" borderId="34" xfId="0" applyNumberFormat="1" applyFont="1" applyFill="1" applyBorder="1" applyAlignment="1" applyProtection="1">
      <alignment horizontal="center" vertical="center" shrinkToFit="1"/>
      <protection/>
    </xf>
    <xf numFmtId="0" fontId="11" fillId="0" borderId="10"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20" fillId="0" borderId="34" xfId="0" applyFont="1" applyFill="1" applyBorder="1" applyAlignment="1" applyProtection="1">
      <alignment horizontal="center" vertical="center"/>
      <protection locked="0"/>
    </xf>
    <xf numFmtId="0" fontId="20" fillId="0" borderId="34" xfId="0" applyFont="1" applyBorder="1" applyAlignment="1" applyProtection="1">
      <alignment horizontal="center" vertical="center" shrinkToFit="1"/>
      <protection locked="0"/>
    </xf>
    <xf numFmtId="0" fontId="0" fillId="37" borderId="34" xfId="0" applyFill="1" applyBorder="1" applyAlignment="1" applyProtection="1">
      <alignment horizontal="center" vertical="center" shrinkToFit="1"/>
      <protection/>
    </xf>
    <xf numFmtId="0" fontId="20" fillId="0" borderId="38" xfId="0" applyFont="1" applyBorder="1" applyAlignment="1" applyProtection="1">
      <alignment horizontal="left" vertical="center" shrinkToFit="1"/>
      <protection locked="0"/>
    </xf>
    <xf numFmtId="0" fontId="20" fillId="0" borderId="39" xfId="0" applyFont="1" applyBorder="1" applyAlignment="1" applyProtection="1">
      <alignment horizontal="left" vertical="center" shrinkToFit="1"/>
      <protection locked="0"/>
    </xf>
    <xf numFmtId="0" fontId="20" fillId="0" borderId="46" xfId="0" applyFont="1" applyBorder="1" applyAlignment="1" applyProtection="1">
      <alignment horizontal="left" vertical="center" shrinkToFit="1"/>
      <protection locked="0"/>
    </xf>
    <xf numFmtId="0" fontId="0" fillId="37" borderId="34" xfId="0" applyFill="1" applyBorder="1" applyAlignment="1" applyProtection="1">
      <alignment horizontal="center"/>
      <protection/>
    </xf>
    <xf numFmtId="0" fontId="17" fillId="0" borderId="11" xfId="0" applyFont="1" applyFill="1" applyBorder="1" applyAlignment="1" applyProtection="1">
      <alignment horizontal="left" vertical="center" shrinkToFit="1"/>
      <protection/>
    </xf>
    <xf numFmtId="0" fontId="17" fillId="0" borderId="0" xfId="0" applyFont="1" applyFill="1" applyBorder="1" applyAlignment="1" applyProtection="1">
      <alignment horizontal="left" vertical="center" shrinkToFit="1"/>
      <protection/>
    </xf>
    <xf numFmtId="0" fontId="13" fillId="37" borderId="34" xfId="0" applyFont="1" applyFill="1" applyBorder="1" applyAlignment="1" applyProtection="1">
      <alignment horizontal="center" vertical="center" shrinkToFit="1"/>
      <protection/>
    </xf>
    <xf numFmtId="0" fontId="20" fillId="0" borderId="34" xfId="0" applyFont="1" applyFill="1" applyBorder="1" applyAlignment="1" applyProtection="1">
      <alignment horizontal="center" vertical="center" shrinkToFit="1"/>
      <protection locked="0"/>
    </xf>
    <xf numFmtId="0" fontId="0" fillId="39" borderId="34" xfId="0" applyFont="1" applyFill="1" applyBorder="1" applyAlignment="1" applyProtection="1">
      <alignment horizontal="center" vertical="center" shrinkToFit="1"/>
      <protection/>
    </xf>
    <xf numFmtId="0" fontId="32" fillId="0" borderId="35" xfId="0" applyFont="1" applyFill="1" applyBorder="1" applyAlignment="1" applyProtection="1">
      <alignment horizontal="left" wrapText="1"/>
      <protection/>
    </xf>
    <xf numFmtId="0" fontId="32" fillId="0" borderId="13" xfId="0" applyFont="1" applyFill="1" applyBorder="1" applyAlignment="1" applyProtection="1">
      <alignment horizontal="left" wrapText="1"/>
      <protection/>
    </xf>
    <xf numFmtId="0" fontId="32" fillId="0" borderId="11" xfId="0" applyFont="1" applyFill="1" applyBorder="1" applyAlignment="1" applyProtection="1">
      <alignment horizontal="left" wrapText="1"/>
      <protection/>
    </xf>
    <xf numFmtId="0" fontId="32" fillId="0" borderId="0" xfId="0" applyFont="1" applyFill="1" applyBorder="1" applyAlignment="1" applyProtection="1">
      <alignment horizontal="left" wrapText="1"/>
      <protection/>
    </xf>
    <xf numFmtId="0" fontId="14" fillId="0" borderId="0" xfId="0" applyFont="1" applyFill="1" applyBorder="1" applyAlignment="1" applyProtection="1">
      <alignment horizontal="center" vertical="center"/>
      <protection/>
    </xf>
    <xf numFmtId="0" fontId="13" fillId="38" borderId="34" xfId="0" applyNumberFormat="1" applyFont="1" applyFill="1" applyBorder="1" applyAlignment="1" applyProtection="1">
      <alignment horizontal="center" vertical="center" shrinkToFit="1"/>
      <protection/>
    </xf>
    <xf numFmtId="0" fontId="13" fillId="38" borderId="38" xfId="0" applyFont="1" applyFill="1" applyBorder="1" applyAlignment="1" applyProtection="1">
      <alignment horizontal="center" vertical="center" shrinkToFit="1"/>
      <protection/>
    </xf>
    <xf numFmtId="0" fontId="13" fillId="38" borderId="39" xfId="0" applyFont="1" applyFill="1" applyBorder="1" applyAlignment="1" applyProtection="1">
      <alignment horizontal="center" vertical="center" shrinkToFit="1"/>
      <protection/>
    </xf>
    <xf numFmtId="0" fontId="13" fillId="38" borderId="46" xfId="0" applyFont="1" applyFill="1" applyBorder="1" applyAlignment="1" applyProtection="1">
      <alignment horizontal="center" vertical="center" shrinkToFit="1"/>
      <protection/>
    </xf>
    <xf numFmtId="0" fontId="0" fillId="36" borderId="34" xfId="0" applyFont="1" applyFill="1" applyBorder="1" applyAlignment="1" applyProtection="1">
      <alignment horizontal="center" vertical="center"/>
      <protection/>
    </xf>
    <xf numFmtId="0" fontId="0" fillId="37" borderId="34" xfId="0" applyNumberFormat="1" applyFont="1" applyFill="1" applyBorder="1" applyAlignment="1" applyProtection="1">
      <alignment horizontal="center" vertical="center" shrinkToFit="1"/>
      <protection/>
    </xf>
    <xf numFmtId="183" fontId="13" fillId="37" borderId="34" xfId="0" applyNumberFormat="1" applyFont="1" applyFill="1" applyBorder="1" applyAlignment="1" applyProtection="1">
      <alignment horizontal="center" vertical="center" shrinkToFit="1"/>
      <protection/>
    </xf>
    <xf numFmtId="0" fontId="13" fillId="37" borderId="44" xfId="0" applyFont="1" applyFill="1" applyBorder="1" applyAlignment="1" applyProtection="1">
      <alignment horizontal="center" vertical="center" shrinkToFit="1"/>
      <protection/>
    </xf>
    <xf numFmtId="0" fontId="13" fillId="37" borderId="42" xfId="0" applyFont="1" applyFill="1" applyBorder="1" applyAlignment="1" applyProtection="1">
      <alignment horizontal="center" vertical="center" shrinkToFit="1"/>
      <protection/>
    </xf>
    <xf numFmtId="0" fontId="20" fillId="0" borderId="38" xfId="0" applyFont="1" applyFill="1" applyBorder="1" applyAlignment="1" applyProtection="1">
      <alignment horizontal="left" vertical="top" shrinkToFit="1"/>
      <protection locked="0"/>
    </xf>
    <xf numFmtId="0" fontId="20" fillId="0" borderId="39" xfId="0" applyFont="1" applyFill="1" applyBorder="1" applyAlignment="1" applyProtection="1">
      <alignment horizontal="left" vertical="top" shrinkToFit="1"/>
      <protection locked="0"/>
    </xf>
    <xf numFmtId="0" fontId="20" fillId="0" borderId="46" xfId="0" applyFont="1" applyFill="1" applyBorder="1" applyAlignment="1" applyProtection="1">
      <alignment horizontal="left" vertical="top" shrinkToFit="1"/>
      <protection locked="0"/>
    </xf>
    <xf numFmtId="0" fontId="20" fillId="0" borderId="35"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left" wrapText="1"/>
      <protection/>
    </xf>
    <xf numFmtId="0" fontId="17" fillId="0" borderId="0" xfId="0" applyFont="1" applyFill="1" applyBorder="1" applyAlignment="1" applyProtection="1">
      <alignment horizontal="left" wrapText="1"/>
      <protection/>
    </xf>
    <xf numFmtId="0" fontId="0" fillId="40" borderId="34" xfId="0" applyFill="1" applyBorder="1" applyAlignment="1" applyProtection="1">
      <alignment horizontal="center" vertical="center"/>
      <protection/>
    </xf>
    <xf numFmtId="0" fontId="13" fillId="40" borderId="34" xfId="0" applyFont="1" applyFill="1" applyBorder="1" applyAlignment="1" applyProtection="1">
      <alignment horizontal="center" vertical="center" shrinkToFit="1"/>
      <protection/>
    </xf>
    <xf numFmtId="0" fontId="20" fillId="0" borderId="38" xfId="0" applyNumberFormat="1" applyFont="1" applyBorder="1" applyAlignment="1" applyProtection="1">
      <alignment horizontal="right" vertical="center" shrinkToFit="1"/>
      <protection locked="0"/>
    </xf>
    <xf numFmtId="0" fontId="20" fillId="0" borderId="39" xfId="0" applyNumberFormat="1" applyFont="1" applyBorder="1" applyAlignment="1" applyProtection="1">
      <alignment horizontal="right" vertical="center" shrinkToFit="1"/>
      <protection locked="0"/>
    </xf>
    <xf numFmtId="0" fontId="20" fillId="0" borderId="46" xfId="0" applyNumberFormat="1" applyFont="1" applyBorder="1" applyAlignment="1" applyProtection="1">
      <alignment horizontal="right" vertical="center" shrinkToFit="1"/>
      <protection locked="0"/>
    </xf>
    <xf numFmtId="0" fontId="20" fillId="0" borderId="42" xfId="0" applyNumberFormat="1" applyFont="1" applyBorder="1" applyAlignment="1" applyProtection="1">
      <alignment horizontal="center" vertical="center" shrinkToFit="1"/>
      <protection locked="0"/>
    </xf>
    <xf numFmtId="0" fontId="20" fillId="0" borderId="34" xfId="0" applyNumberFormat="1" applyFont="1" applyBorder="1" applyAlignment="1" applyProtection="1">
      <alignment horizontal="center" vertical="center" shrinkToFit="1"/>
      <protection locked="0"/>
    </xf>
    <xf numFmtId="0" fontId="20" fillId="0" borderId="16" xfId="0" applyFont="1" applyBorder="1" applyAlignment="1" applyProtection="1">
      <alignment horizontal="left" vertical="center" shrinkToFit="1"/>
      <protection locked="0"/>
    </xf>
    <xf numFmtId="0" fontId="20" fillId="0" borderId="10" xfId="0" applyFont="1" applyBorder="1" applyAlignment="1" applyProtection="1">
      <alignment horizontal="left" vertical="center" shrinkToFit="1"/>
      <protection locked="0"/>
    </xf>
    <xf numFmtId="0" fontId="20" fillId="0" borderId="36" xfId="0" applyFont="1" applyBorder="1" applyAlignment="1" applyProtection="1">
      <alignment horizontal="left" vertical="center" shrinkToFit="1"/>
      <protection locked="0"/>
    </xf>
    <xf numFmtId="0" fontId="0" fillId="0" borderId="34" xfId="0" applyBorder="1" applyAlignment="1" applyProtection="1">
      <alignment horizontal="center" vertical="center" shrinkToFit="1"/>
      <protection locked="0"/>
    </xf>
    <xf numFmtId="0" fontId="20" fillId="0" borderId="42" xfId="0" applyFon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4" fillId="0" borderId="44" xfId="0" applyNumberFormat="1" applyFont="1" applyFill="1" applyBorder="1" applyAlignment="1" applyProtection="1">
      <alignment horizontal="center" vertical="center" wrapText="1"/>
      <protection locked="0"/>
    </xf>
    <xf numFmtId="0" fontId="24" fillId="0" borderId="42" xfId="0" applyNumberFormat="1" applyFont="1" applyFill="1" applyBorder="1" applyAlignment="1" applyProtection="1">
      <alignment horizontal="center" vertical="center" wrapText="1"/>
      <protection locked="0"/>
    </xf>
    <xf numFmtId="0" fontId="23" fillId="0" borderId="35" xfId="0" applyNumberFormat="1" applyFont="1" applyFill="1" applyBorder="1" applyAlignment="1" applyProtection="1">
      <alignment horizontal="left" vertical="center" wrapText="1"/>
      <protection locked="0"/>
    </xf>
    <xf numFmtId="0" fontId="23" fillId="0" borderId="13" xfId="0" applyNumberFormat="1" applyFont="1" applyFill="1" applyBorder="1" applyAlignment="1" applyProtection="1">
      <alignment horizontal="left" vertical="center" wrapText="1"/>
      <protection locked="0"/>
    </xf>
    <xf numFmtId="0" fontId="23" fillId="0" borderId="14" xfId="0" applyNumberFormat="1" applyFont="1" applyFill="1" applyBorder="1" applyAlignment="1" applyProtection="1">
      <alignment horizontal="left" vertical="center" wrapText="1"/>
      <protection locked="0"/>
    </xf>
    <xf numFmtId="0" fontId="23" fillId="0" borderId="16" xfId="0" applyNumberFormat="1" applyFont="1" applyFill="1" applyBorder="1" applyAlignment="1" applyProtection="1">
      <alignment horizontal="left" vertical="center" wrapText="1"/>
      <protection locked="0"/>
    </xf>
    <xf numFmtId="0" fontId="23" fillId="0" borderId="10" xfId="0" applyNumberFormat="1" applyFont="1" applyFill="1" applyBorder="1" applyAlignment="1" applyProtection="1">
      <alignment horizontal="left" vertical="center" wrapText="1"/>
      <protection locked="0"/>
    </xf>
    <xf numFmtId="0" fontId="23" fillId="0" borderId="36" xfId="0" applyNumberFormat="1" applyFont="1" applyFill="1" applyBorder="1" applyAlignment="1" applyProtection="1">
      <alignment horizontal="left" vertical="center" wrapText="1"/>
      <protection locked="0"/>
    </xf>
    <xf numFmtId="0" fontId="0" fillId="0" borderId="34" xfId="0" applyFill="1" applyBorder="1" applyAlignment="1" applyProtection="1">
      <alignment horizontal="center" vertical="center" shrinkToFit="1"/>
      <protection locked="0"/>
    </xf>
    <xf numFmtId="0" fontId="20" fillId="0" borderId="42" xfId="0" applyNumberFormat="1" applyFont="1" applyFill="1" applyBorder="1" applyAlignment="1" applyProtection="1">
      <alignment horizontal="center" vertical="center" shrinkToFit="1"/>
      <protection locked="0"/>
    </xf>
    <xf numFmtId="0" fontId="20" fillId="0" borderId="34" xfId="0" applyNumberFormat="1" applyFont="1" applyFill="1" applyBorder="1" applyAlignment="1" applyProtection="1">
      <alignment horizontal="center" vertical="center" shrinkToFit="1"/>
      <protection locked="0"/>
    </xf>
    <xf numFmtId="0" fontId="20" fillId="0" borderId="42" xfId="0" applyFont="1" applyFill="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14" fontId="20" fillId="0" borderId="44" xfId="0" applyNumberFormat="1" applyFont="1" applyBorder="1" applyAlignment="1" applyProtection="1">
      <alignment horizontal="center" vertical="center" shrinkToFit="1"/>
      <protection locked="0"/>
    </xf>
    <xf numFmtId="14" fontId="20" fillId="0" borderId="42" xfId="0" applyNumberFormat="1"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4" xfId="0" applyBorder="1" applyAlignment="1" applyProtection="1">
      <alignment horizontal="center" vertical="center" textRotation="255" shrinkToFit="1"/>
      <protection locked="0"/>
    </xf>
    <xf numFmtId="0" fontId="0" fillId="0" borderId="42" xfId="0" applyBorder="1" applyAlignment="1" applyProtection="1">
      <alignment horizontal="center" vertical="center" textRotation="255" shrinkToFit="1"/>
      <protection locked="0"/>
    </xf>
    <xf numFmtId="0" fontId="34" fillId="0" borderId="44" xfId="0" applyFont="1" applyBorder="1" applyAlignment="1" applyProtection="1">
      <alignment horizontal="center" vertical="center" textRotation="255" shrinkToFit="1"/>
      <protection locked="0"/>
    </xf>
    <xf numFmtId="0" fontId="34" fillId="0" borderId="42" xfId="0" applyFont="1" applyBorder="1" applyAlignment="1" applyProtection="1">
      <alignment horizontal="center" vertical="center" textRotation="255" shrinkToFit="1"/>
      <protection locked="0"/>
    </xf>
    <xf numFmtId="0" fontId="20" fillId="0" borderId="44" xfId="0" applyFont="1" applyBorder="1" applyAlignment="1" applyProtection="1">
      <alignment horizontal="center" vertical="center" shrinkToFit="1"/>
      <protection locked="0"/>
    </xf>
    <xf numFmtId="0" fontId="20" fillId="0" borderId="16"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36" xfId="0" applyFont="1" applyBorder="1" applyAlignment="1" applyProtection="1">
      <alignment horizontal="left" vertical="center" wrapText="1"/>
      <protection locked="0"/>
    </xf>
    <xf numFmtId="0" fontId="20" fillId="0" borderId="43" xfId="0" applyFont="1" applyBorder="1" applyAlignment="1" applyProtection="1">
      <alignment horizontal="center" vertical="center" shrinkToFit="1"/>
      <protection locked="0"/>
    </xf>
    <xf numFmtId="0" fontId="20" fillId="0" borderId="16" xfId="0" applyFont="1" applyFill="1" applyBorder="1" applyAlignment="1" applyProtection="1">
      <alignment horizontal="left" vertical="center" shrinkToFit="1"/>
      <protection locked="0"/>
    </xf>
    <xf numFmtId="0" fontId="20" fillId="0" borderId="10" xfId="0" applyFont="1" applyFill="1" applyBorder="1" applyAlignment="1" applyProtection="1">
      <alignment horizontal="left" vertical="center" shrinkToFit="1"/>
      <protection locked="0"/>
    </xf>
    <xf numFmtId="0" fontId="20" fillId="0" borderId="36" xfId="0" applyFont="1" applyFill="1" applyBorder="1" applyAlignment="1" applyProtection="1">
      <alignment horizontal="left" vertical="center" shrinkToFit="1"/>
      <protection locked="0"/>
    </xf>
    <xf numFmtId="0" fontId="20" fillId="0" borderId="44" xfId="0" applyFont="1" applyFill="1" applyBorder="1" applyAlignment="1" applyProtection="1">
      <alignment horizontal="center" vertical="center" shrinkToFit="1"/>
      <protection locked="0"/>
    </xf>
    <xf numFmtId="188" fontId="20" fillId="0" borderId="38" xfId="0" applyNumberFormat="1" applyFont="1" applyBorder="1" applyAlignment="1" applyProtection="1">
      <alignment horizontal="right" vertical="center" shrinkToFit="1"/>
      <protection locked="0"/>
    </xf>
    <xf numFmtId="188" fontId="20" fillId="0" borderId="39" xfId="0" applyNumberFormat="1" applyFont="1" applyBorder="1" applyAlignment="1" applyProtection="1">
      <alignment horizontal="right" vertical="center" shrinkToFit="1"/>
      <protection locked="0"/>
    </xf>
    <xf numFmtId="0" fontId="10" fillId="41" borderId="38" xfId="0" applyFont="1" applyFill="1" applyBorder="1" applyAlignment="1" applyProtection="1">
      <alignment horizontal="left" vertical="center" shrinkToFit="1"/>
      <protection locked="0"/>
    </xf>
    <xf numFmtId="0" fontId="10" fillId="41" borderId="39" xfId="0" applyFont="1" applyFill="1" applyBorder="1" applyAlignment="1" applyProtection="1">
      <alignment horizontal="left" vertical="center" shrinkToFit="1"/>
      <protection locked="0"/>
    </xf>
    <xf numFmtId="0" fontId="10" fillId="41" borderId="46" xfId="0" applyFont="1" applyFill="1" applyBorder="1" applyAlignment="1" applyProtection="1">
      <alignment horizontal="left" vertical="center" shrinkToFit="1"/>
      <protection locked="0"/>
    </xf>
    <xf numFmtId="0" fontId="24" fillId="0" borderId="44" xfId="0" applyNumberFormat="1" applyFont="1" applyBorder="1" applyAlignment="1" applyProtection="1">
      <alignment horizontal="center" vertical="center" wrapText="1"/>
      <protection locked="0"/>
    </xf>
    <xf numFmtId="0" fontId="24" fillId="0" borderId="42" xfId="0" applyNumberFormat="1" applyFont="1" applyBorder="1" applyAlignment="1" applyProtection="1">
      <alignment horizontal="center" vertical="center" wrapText="1"/>
      <protection locked="0"/>
    </xf>
    <xf numFmtId="0" fontId="23" fillId="0" borderId="35" xfId="0" applyNumberFormat="1" applyFont="1" applyBorder="1" applyAlignment="1" applyProtection="1">
      <alignment horizontal="left" vertical="center" wrapText="1"/>
      <protection locked="0"/>
    </xf>
    <xf numFmtId="0" fontId="23" fillId="0" borderId="13" xfId="0" applyNumberFormat="1" applyFont="1" applyBorder="1" applyAlignment="1" applyProtection="1">
      <alignment horizontal="left" vertical="center" wrapText="1"/>
      <protection locked="0"/>
    </xf>
    <xf numFmtId="0" fontId="23" fillId="0" borderId="14" xfId="0" applyNumberFormat="1" applyFont="1" applyBorder="1" applyAlignment="1" applyProtection="1">
      <alignment horizontal="left" vertical="center" wrapText="1"/>
      <protection locked="0"/>
    </xf>
    <xf numFmtId="0" fontId="23" fillId="0" borderId="16" xfId="0" applyNumberFormat="1" applyFont="1" applyBorder="1" applyAlignment="1" applyProtection="1">
      <alignment horizontal="left" vertical="center" wrapText="1"/>
      <protection locked="0"/>
    </xf>
    <xf numFmtId="0" fontId="23" fillId="0" borderId="10" xfId="0" applyNumberFormat="1" applyFont="1" applyBorder="1" applyAlignment="1" applyProtection="1">
      <alignment horizontal="left" vertical="center" wrapText="1"/>
      <protection locked="0"/>
    </xf>
    <xf numFmtId="0" fontId="23" fillId="0" borderId="36" xfId="0" applyNumberFormat="1" applyFont="1" applyBorder="1" applyAlignment="1" applyProtection="1">
      <alignment horizontal="left" vertical="center" wrapText="1"/>
      <protection locked="0"/>
    </xf>
    <xf numFmtId="0" fontId="35" fillId="0" borderId="44" xfId="0" applyFont="1" applyBorder="1" applyAlignment="1" applyProtection="1">
      <alignment horizontal="center" vertical="center" textRotation="255" wrapText="1" shrinkToFit="1"/>
      <protection locked="0"/>
    </xf>
    <xf numFmtId="0" fontId="35" fillId="0" borderId="42" xfId="0" applyFont="1" applyBorder="1" applyAlignment="1" applyProtection="1">
      <alignment horizontal="center" vertical="center" textRotation="255" shrinkToFit="1"/>
      <protection locked="0"/>
    </xf>
    <xf numFmtId="0" fontId="16" fillId="0" borderId="13" xfId="0" applyFont="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xf>
    <xf numFmtId="0" fontId="16" fillId="0" borderId="71" xfId="0" applyFont="1" applyBorder="1" applyAlignment="1" applyProtection="1">
      <alignment horizontal="center" vertical="center" shrinkToFit="1"/>
      <protection/>
    </xf>
    <xf numFmtId="0" fontId="16" fillId="0" borderId="45" xfId="0" applyFont="1" applyBorder="1" applyAlignment="1" applyProtection="1">
      <alignment horizontal="center" vertical="center" shrinkToFit="1"/>
      <protection/>
    </xf>
    <xf numFmtId="0" fontId="4" fillId="0" borderId="35"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25" fillId="0" borderId="70" xfId="0" applyFont="1" applyBorder="1" applyAlignment="1" applyProtection="1">
      <alignment horizontal="center" vertical="center" shrinkToFit="1"/>
      <protection/>
    </xf>
    <xf numFmtId="0" fontId="4" fillId="0" borderId="70" xfId="0" applyFont="1" applyBorder="1" applyAlignment="1" applyProtection="1">
      <alignment horizontal="center" vertical="center" shrinkToFit="1"/>
      <protection/>
    </xf>
    <xf numFmtId="0" fontId="4" fillId="0" borderId="72"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56" xfId="0" applyFont="1" applyBorder="1" applyAlignment="1" applyProtection="1">
      <alignment horizontal="center" vertical="center" shrinkToFit="1"/>
      <protection/>
    </xf>
    <xf numFmtId="0" fontId="16" fillId="0" borderId="70"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16" fillId="0" borderId="10" xfId="0" applyFont="1" applyBorder="1" applyAlignment="1" applyProtection="1">
      <alignment horizontal="center" vertical="center" shrinkToFit="1"/>
      <protection/>
    </xf>
    <xf numFmtId="0" fontId="16" fillId="0" borderId="73" xfId="0" applyFont="1" applyBorder="1" applyAlignment="1" applyProtection="1">
      <alignment horizontal="center" vertical="center" shrinkToFit="1"/>
      <protection/>
    </xf>
    <xf numFmtId="0" fontId="16" fillId="0" borderId="12" xfId="0" applyFont="1" applyBorder="1" applyAlignment="1" applyProtection="1">
      <alignment horizontal="center" vertical="center" shrinkToFit="1"/>
      <protection/>
    </xf>
    <xf numFmtId="0" fontId="16" fillId="0" borderId="56" xfId="0" applyFont="1" applyBorder="1" applyAlignment="1" applyProtection="1">
      <alignment horizontal="center" vertical="center" shrinkToFit="1"/>
      <protection/>
    </xf>
    <xf numFmtId="186" fontId="33" fillId="0" borderId="13" xfId="0" applyNumberFormat="1" applyFont="1" applyBorder="1" applyAlignment="1" applyProtection="1">
      <alignment horizontal="center" vertical="center" shrinkToFit="1"/>
      <protection/>
    </xf>
    <xf numFmtId="186" fontId="33" fillId="0" borderId="0" xfId="0" applyNumberFormat="1" applyFont="1" applyBorder="1" applyAlignment="1" applyProtection="1">
      <alignment horizontal="center" vertical="center" shrinkToFit="1"/>
      <protection/>
    </xf>
    <xf numFmtId="0" fontId="4" fillId="0" borderId="0"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56"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15" fillId="0" borderId="0" xfId="0" applyFont="1" applyBorder="1" applyAlignment="1" applyProtection="1">
      <alignment horizontal="left" vertical="center" shrinkToFit="1"/>
      <protection/>
    </xf>
    <xf numFmtId="0" fontId="15" fillId="0" borderId="74" xfId="0" applyFont="1" applyBorder="1" applyAlignment="1" applyProtection="1">
      <alignment horizontal="left" vertical="center" shrinkToFit="1"/>
      <protection/>
    </xf>
    <xf numFmtId="0" fontId="12" fillId="0" borderId="13"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6" fillId="0" borderId="13" xfId="0" applyFont="1" applyBorder="1" applyAlignment="1" applyProtection="1">
      <alignment horizontal="left" vertical="center" shrinkToFit="1"/>
      <protection/>
    </xf>
    <xf numFmtId="0" fontId="16" fillId="0" borderId="73" xfId="0" applyFont="1" applyBorder="1" applyAlignment="1" applyProtection="1">
      <alignment horizontal="left" vertical="center" shrinkToFit="1"/>
      <protection/>
    </xf>
    <xf numFmtId="0" fontId="16" fillId="0" borderId="0" xfId="0" applyFont="1" applyBorder="1" applyAlignment="1" applyProtection="1">
      <alignment horizontal="left" vertical="center" shrinkToFit="1"/>
      <protection/>
    </xf>
    <xf numFmtId="0" fontId="16" fillId="0" borderId="12" xfId="0" applyFont="1" applyBorder="1" applyAlignment="1" applyProtection="1">
      <alignment horizontal="left" vertical="center" shrinkToFit="1"/>
      <protection/>
    </xf>
    <xf numFmtId="0" fontId="16" fillId="0" borderId="13"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10" xfId="0" applyFont="1" applyBorder="1" applyAlignment="1" applyProtection="1">
      <alignment horizontal="center" vertical="center"/>
      <protection/>
    </xf>
    <xf numFmtId="0" fontId="16" fillId="0" borderId="10" xfId="0" applyFont="1" applyBorder="1" applyAlignment="1" applyProtection="1">
      <alignment horizontal="left" vertical="center" shrinkToFit="1"/>
      <protection/>
    </xf>
    <xf numFmtId="0" fontId="16" fillId="0" borderId="56" xfId="0" applyFont="1" applyBorder="1" applyAlignment="1" applyProtection="1">
      <alignment horizontal="left" vertical="center" shrinkToFit="1"/>
      <protection/>
    </xf>
    <xf numFmtId="0" fontId="4" fillId="0" borderId="13"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0" fillId="0" borderId="13" xfId="0" applyBorder="1" applyAlignment="1" applyProtection="1">
      <alignment horizontal="center" vertical="center"/>
      <protection/>
    </xf>
    <xf numFmtId="0" fontId="0" fillId="0" borderId="0" xfId="0" applyBorder="1" applyAlignment="1" applyProtection="1">
      <alignment horizontal="center" vertical="center"/>
      <protection/>
    </xf>
    <xf numFmtId="0" fontId="1" fillId="0" borderId="75" xfId="0" applyFont="1" applyBorder="1" applyAlignment="1" applyProtection="1">
      <alignment horizontal="center" vertical="center" wrapText="1"/>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76"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77"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78" xfId="0" applyFont="1" applyBorder="1" applyAlignment="1" applyProtection="1">
      <alignment horizontal="center" vertical="center"/>
      <protection/>
    </xf>
    <xf numFmtId="0" fontId="1" fillId="0" borderId="75" xfId="0" applyFont="1" applyBorder="1" applyAlignment="1" applyProtection="1">
      <alignment horizontal="center" vertical="center"/>
      <protection/>
    </xf>
    <xf numFmtId="0" fontId="1" fillId="0" borderId="79"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36" fillId="0" borderId="75" xfId="0" applyFont="1" applyBorder="1" applyAlignment="1" applyProtection="1">
      <alignment vertical="top" wrapText="1"/>
      <protection/>
    </xf>
    <xf numFmtId="0" fontId="36" fillId="0" borderId="13" xfId="0" applyFont="1" applyBorder="1" applyAlignment="1" applyProtection="1">
      <alignment vertical="top" wrapText="1"/>
      <protection/>
    </xf>
    <xf numFmtId="0" fontId="36" fillId="0" borderId="73" xfId="0" applyFont="1" applyBorder="1" applyAlignment="1" applyProtection="1">
      <alignment vertical="top" wrapText="1"/>
      <protection/>
    </xf>
    <xf numFmtId="0" fontId="36" fillId="0" borderId="76" xfId="0" applyFont="1" applyBorder="1" applyAlignment="1" applyProtection="1">
      <alignment vertical="top" wrapText="1"/>
      <protection/>
    </xf>
    <xf numFmtId="0" fontId="36" fillId="0" borderId="0" xfId="0" applyFont="1" applyBorder="1" applyAlignment="1" applyProtection="1">
      <alignment vertical="top" wrapText="1"/>
      <protection/>
    </xf>
    <xf numFmtId="0" fontId="36" fillId="0" borderId="12" xfId="0" applyFont="1" applyBorder="1" applyAlignment="1" applyProtection="1">
      <alignment vertical="top" wrapText="1"/>
      <protection/>
    </xf>
    <xf numFmtId="0" fontId="36" fillId="0" borderId="77" xfId="0" applyFont="1" applyBorder="1" applyAlignment="1" applyProtection="1">
      <alignment vertical="top" wrapText="1"/>
      <protection/>
    </xf>
    <xf numFmtId="0" fontId="36" fillId="0" borderId="74" xfId="0" applyFont="1" applyBorder="1" applyAlignment="1" applyProtection="1">
      <alignment vertical="top" wrapText="1"/>
      <protection/>
    </xf>
    <xf numFmtId="0" fontId="36" fillId="0" borderId="80" xfId="0" applyFont="1" applyBorder="1" applyAlignment="1" applyProtection="1">
      <alignment vertical="top" wrapText="1"/>
      <protection/>
    </xf>
    <xf numFmtId="0" fontId="4" fillId="0" borderId="12" xfId="0" applyFont="1" applyBorder="1" applyAlignment="1" applyProtection="1">
      <alignment horizontal="center" vertical="center"/>
      <protection/>
    </xf>
    <xf numFmtId="0" fontId="4" fillId="0" borderId="80" xfId="0" applyFont="1" applyBorder="1" applyAlignment="1" applyProtection="1">
      <alignment horizontal="center" vertical="center"/>
      <protection/>
    </xf>
    <xf numFmtId="0" fontId="37" fillId="0" borderId="11" xfId="0" applyFont="1" applyBorder="1" applyAlignment="1" applyProtection="1">
      <alignment horizontal="center" vertical="center"/>
      <protection/>
    </xf>
    <xf numFmtId="0" fontId="37" fillId="0" borderId="0" xfId="0" applyFont="1" applyBorder="1" applyAlignment="1" applyProtection="1">
      <alignment horizontal="center" vertical="center"/>
      <protection/>
    </xf>
    <xf numFmtId="0" fontId="4" fillId="0" borderId="35"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74" xfId="0" applyFont="1" applyBorder="1" applyAlignment="1" applyProtection="1">
      <alignment horizontal="left" vertical="center"/>
      <protection/>
    </xf>
    <xf numFmtId="0" fontId="4" fillId="0" borderId="74" xfId="0" applyFont="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0" fontId="4" fillId="0" borderId="16"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16" fillId="0" borderId="15" xfId="0" applyFont="1" applyBorder="1" applyAlignment="1" applyProtection="1">
      <alignment horizontal="center" vertical="center" shrinkToFit="1"/>
      <protection/>
    </xf>
    <xf numFmtId="0" fontId="16" fillId="0" borderId="36" xfId="0" applyFont="1" applyBorder="1" applyAlignment="1" applyProtection="1">
      <alignment horizontal="center" vertical="center" shrinkToFit="1"/>
      <protection/>
    </xf>
    <xf numFmtId="185" fontId="33" fillId="0" borderId="13" xfId="0" applyNumberFormat="1" applyFont="1" applyBorder="1" applyAlignment="1" applyProtection="1">
      <alignment horizontal="center" vertical="center" shrinkToFit="1"/>
      <protection/>
    </xf>
    <xf numFmtId="185" fontId="33" fillId="0" borderId="0" xfId="0" applyNumberFormat="1" applyFont="1" applyBorder="1" applyAlignment="1" applyProtection="1">
      <alignment horizontal="center" vertical="center" shrinkToFit="1"/>
      <protection/>
    </xf>
    <xf numFmtId="0" fontId="22" fillId="0" borderId="35" xfId="0" applyFont="1" applyBorder="1" applyAlignment="1" applyProtection="1">
      <alignment horizontal="center" vertical="center" wrapText="1" shrinkToFit="1"/>
      <protection/>
    </xf>
    <xf numFmtId="0" fontId="22" fillId="0" borderId="13" xfId="0" applyFont="1" applyBorder="1" applyAlignment="1" applyProtection="1">
      <alignment horizontal="center" vertical="center" shrinkToFit="1"/>
      <protection/>
    </xf>
    <xf numFmtId="0" fontId="22" fillId="0" borderId="11" xfId="0" applyFont="1" applyBorder="1" applyAlignment="1" applyProtection="1">
      <alignment horizontal="center" vertical="center" shrinkToFit="1"/>
      <protection/>
    </xf>
    <xf numFmtId="0" fontId="22" fillId="0" borderId="0" xfId="0" applyFont="1" applyBorder="1" applyAlignment="1" applyProtection="1">
      <alignment horizontal="center" vertical="center" shrinkToFit="1"/>
      <protection/>
    </xf>
    <xf numFmtId="0" fontId="22" fillId="0" borderId="16" xfId="0" applyFont="1" applyBorder="1" applyAlignment="1" applyProtection="1">
      <alignment horizontal="center" vertical="center" shrinkToFit="1"/>
      <protection/>
    </xf>
    <xf numFmtId="0" fontId="22" fillId="0" borderId="10" xfId="0" applyFont="1" applyBorder="1" applyAlignment="1" applyProtection="1">
      <alignment horizontal="center" vertical="center" shrinkToFit="1"/>
      <protection/>
    </xf>
    <xf numFmtId="0" fontId="37" fillId="0" borderId="35" xfId="0" applyFont="1" applyBorder="1" applyAlignment="1" applyProtection="1">
      <alignment horizontal="center" vertical="center"/>
      <protection/>
    </xf>
    <xf numFmtId="0" fontId="37" fillId="0" borderId="13" xfId="0" applyFont="1" applyBorder="1" applyAlignment="1" applyProtection="1">
      <alignment horizontal="center" vertical="center"/>
      <protection/>
    </xf>
    <xf numFmtId="180" fontId="4" fillId="0" borderId="13" xfId="0" applyNumberFormat="1"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7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20" fontId="16" fillId="0" borderId="13" xfId="0" applyNumberFormat="1"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7" fillId="0" borderId="18" xfId="0" applyFont="1" applyBorder="1" applyAlignment="1" applyProtection="1">
      <alignment horizontal="center"/>
      <protection/>
    </xf>
    <xf numFmtId="0" fontId="7" fillId="0" borderId="19" xfId="0" applyFont="1" applyBorder="1" applyAlignment="1" applyProtection="1">
      <alignment horizontal="center"/>
      <protection/>
    </xf>
    <xf numFmtId="0" fontId="7" fillId="0" borderId="81" xfId="0" applyFont="1" applyBorder="1" applyAlignment="1" applyProtection="1">
      <alignment horizontal="center"/>
      <protection/>
    </xf>
    <xf numFmtId="0" fontId="7" fillId="0" borderId="82" xfId="0" applyFont="1" applyBorder="1" applyAlignment="1" applyProtection="1">
      <alignment horizontal="center"/>
      <protection/>
    </xf>
    <xf numFmtId="0" fontId="11" fillId="0" borderId="83" xfId="0" applyFont="1" applyBorder="1" applyAlignment="1" applyProtection="1">
      <alignment horizontal="center" vertical="center"/>
      <protection/>
    </xf>
    <xf numFmtId="0" fontId="11" fillId="0" borderId="70" xfId="0" applyFont="1" applyBorder="1" applyAlignment="1" applyProtection="1">
      <alignment horizontal="center" vertical="center"/>
      <protection/>
    </xf>
    <xf numFmtId="0" fontId="11" fillId="0" borderId="72" xfId="0" applyFont="1" applyBorder="1" applyAlignment="1" applyProtection="1">
      <alignment horizontal="center" vertical="center"/>
      <protection/>
    </xf>
    <xf numFmtId="0" fontId="11" fillId="0" borderId="7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79"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56" xfId="0" applyFont="1" applyBorder="1" applyAlignment="1" applyProtection="1">
      <alignment horizontal="center" vertical="center"/>
      <protection/>
    </xf>
    <xf numFmtId="0" fontId="7" fillId="0" borderId="81" xfId="0" applyFont="1" applyBorder="1" applyAlignment="1" applyProtection="1">
      <alignment horizontal="center" vertical="center"/>
      <protection/>
    </xf>
    <xf numFmtId="0" fontId="7" fillId="0" borderId="84" xfId="0" applyFont="1" applyBorder="1" applyAlignment="1" applyProtection="1">
      <alignment horizontal="center" vertical="center"/>
      <protection/>
    </xf>
    <xf numFmtId="0" fontId="7" fillId="0" borderId="82" xfId="0" applyFont="1" applyBorder="1" applyAlignment="1" applyProtection="1">
      <alignment horizontal="center" vertical="center"/>
      <protection/>
    </xf>
    <xf numFmtId="0" fontId="7" fillId="0" borderId="85" xfId="0" applyFont="1" applyBorder="1" applyAlignment="1" applyProtection="1">
      <alignment horizontal="center" vertical="center"/>
      <protection/>
    </xf>
    <xf numFmtId="0" fontId="7" fillId="0" borderId="17" xfId="0" applyFont="1" applyBorder="1" applyAlignment="1" applyProtection="1">
      <alignment horizontal="center"/>
      <protection/>
    </xf>
    <xf numFmtId="0" fontId="7" fillId="0" borderId="86" xfId="0" applyFont="1" applyBorder="1" applyAlignment="1" applyProtection="1">
      <alignment horizontal="center"/>
      <protection/>
    </xf>
    <xf numFmtId="0" fontId="7" fillId="0" borderId="86" xfId="0" applyFont="1" applyBorder="1" applyAlignment="1" applyProtection="1">
      <alignment horizontal="center" vertical="center"/>
      <protection/>
    </xf>
    <xf numFmtId="0" fontId="7" fillId="0" borderId="87" xfId="0" applyFont="1" applyBorder="1" applyAlignment="1" applyProtection="1">
      <alignment horizontal="center" vertical="center"/>
      <protection/>
    </xf>
    <xf numFmtId="0" fontId="16" fillId="0" borderId="52" xfId="0" applyFont="1" applyBorder="1" applyAlignment="1" applyProtection="1">
      <alignment horizontal="center" vertical="center" shrinkToFit="1"/>
      <protection/>
    </xf>
    <xf numFmtId="0" fontId="16" fillId="0" borderId="88" xfId="0" applyFont="1" applyBorder="1" applyAlignment="1" applyProtection="1">
      <alignment horizontal="center" vertical="center" shrinkToFit="1"/>
      <protection/>
    </xf>
    <xf numFmtId="0" fontId="27" fillId="0" borderId="11"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27" fillId="0" borderId="16" xfId="0" applyFont="1" applyBorder="1" applyAlignment="1" applyProtection="1">
      <alignment horizontal="left" vertical="center" wrapText="1"/>
      <protection/>
    </xf>
    <xf numFmtId="0" fontId="27" fillId="0" borderId="10" xfId="0" applyFont="1" applyBorder="1" applyAlignment="1" applyProtection="1">
      <alignment horizontal="left" vertical="center" wrapText="1"/>
      <protection/>
    </xf>
    <xf numFmtId="0" fontId="37" fillId="0" borderId="89" xfId="0" applyFont="1" applyBorder="1" applyAlignment="1" applyProtection="1">
      <alignment horizontal="center" vertical="center"/>
      <protection/>
    </xf>
    <xf numFmtId="0" fontId="37" fillId="0" borderId="74"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0" xfId="0" applyFont="1" applyBorder="1" applyAlignment="1" applyProtection="1">
      <alignment horizontal="center" vertical="center"/>
      <protection/>
    </xf>
    <xf numFmtId="0" fontId="0" fillId="0" borderId="73"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56" xfId="0" applyBorder="1" applyAlignment="1" applyProtection="1">
      <alignment horizontal="center" vertical="center"/>
      <protection/>
    </xf>
    <xf numFmtId="0" fontId="4" fillId="0" borderId="90"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16" fillId="0" borderId="91" xfId="0" applyFont="1" applyBorder="1" applyAlignment="1" applyProtection="1">
      <alignment horizontal="center" vertical="center" shrinkToFit="1"/>
      <protection/>
    </xf>
    <xf numFmtId="0" fontId="16" fillId="0" borderId="92" xfId="0" applyFont="1" applyBorder="1" applyAlignment="1" applyProtection="1">
      <alignment horizontal="center" vertical="center" shrinkToFit="1"/>
      <protection/>
    </xf>
    <xf numFmtId="0" fontId="16" fillId="0" borderId="93" xfId="0" applyFont="1" applyBorder="1" applyAlignment="1" applyProtection="1">
      <alignment horizontal="center" vertical="center" shrinkToFit="1"/>
      <protection/>
    </xf>
    <xf numFmtId="0" fontId="16" fillId="0" borderId="35" xfId="0" applyFont="1" applyBorder="1" applyAlignment="1" applyProtection="1">
      <alignment horizontal="center" vertical="center" shrinkToFit="1"/>
      <protection/>
    </xf>
    <xf numFmtId="0" fontId="16" fillId="0" borderId="11"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26" fillId="0" borderId="35" xfId="0" applyFont="1" applyBorder="1" applyAlignment="1" applyProtection="1">
      <alignment horizontal="center" vertical="center" shrinkToFit="1"/>
      <protection/>
    </xf>
    <xf numFmtId="0" fontId="26" fillId="0" borderId="13" xfId="0" applyFont="1" applyBorder="1" applyAlignment="1" applyProtection="1">
      <alignment horizontal="center" vertical="center" shrinkToFit="1"/>
      <protection/>
    </xf>
    <xf numFmtId="0" fontId="26" fillId="0" borderId="14"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0" borderId="15" xfId="0" applyFont="1" applyBorder="1" applyAlignment="1" applyProtection="1">
      <alignment horizontal="center" vertical="center" shrinkToFit="1"/>
      <protection/>
    </xf>
    <xf numFmtId="0" fontId="26" fillId="0" borderId="16" xfId="0" applyFont="1" applyBorder="1" applyAlignment="1" applyProtection="1">
      <alignment horizontal="center" vertical="center" shrinkToFit="1"/>
      <protection/>
    </xf>
    <xf numFmtId="0" fontId="26" fillId="0" borderId="10" xfId="0" applyFont="1" applyBorder="1" applyAlignment="1" applyProtection="1">
      <alignment horizontal="center" vertical="center" shrinkToFit="1"/>
      <protection/>
    </xf>
    <xf numFmtId="0" fontId="26" fillId="0" borderId="36" xfId="0" applyFont="1" applyBorder="1" applyAlignment="1" applyProtection="1">
      <alignment horizontal="center" vertical="center" shrinkToFit="1"/>
      <protection/>
    </xf>
    <xf numFmtId="0" fontId="39" fillId="0" borderId="10" xfId="0" applyFont="1" applyBorder="1" applyAlignment="1" applyProtection="1">
      <alignment horizontal="center" vertical="center"/>
      <protection/>
    </xf>
    <xf numFmtId="0" fontId="4" fillId="0" borderId="0" xfId="0" applyFont="1" applyAlignment="1" applyProtection="1">
      <alignment horizontal="left" vertical="center"/>
      <protection/>
    </xf>
    <xf numFmtId="188" fontId="20" fillId="0" borderId="0" xfId="0" applyNumberFormat="1" applyFont="1" applyAlignment="1" applyProtection="1">
      <alignment horizontal="right" vertical="center"/>
      <protection/>
    </xf>
    <xf numFmtId="0" fontId="4" fillId="0" borderId="70" xfId="0" applyFont="1" applyBorder="1" applyAlignment="1" applyProtection="1">
      <alignment horizontal="left" vertical="center"/>
      <protection/>
    </xf>
    <xf numFmtId="0" fontId="16" fillId="0" borderId="94" xfId="0" applyFont="1" applyBorder="1" applyAlignment="1" applyProtection="1">
      <alignment horizontal="center" vertical="center" shrinkToFit="1"/>
      <protection/>
    </xf>
    <xf numFmtId="0" fontId="15" fillId="0" borderId="0" xfId="0" applyFont="1" applyBorder="1" applyAlignment="1" applyProtection="1">
      <alignment horizontal="center" vertical="center"/>
      <protection/>
    </xf>
    <xf numFmtId="0" fontId="38" fillId="0" borderId="10" xfId="0" applyFont="1" applyBorder="1" applyAlignment="1" applyProtection="1">
      <alignment horizontal="center" vertical="center" shrinkToFit="1"/>
      <protection/>
    </xf>
    <xf numFmtId="0" fontId="38" fillId="0" borderId="56" xfId="0" applyFont="1" applyBorder="1" applyAlignment="1" applyProtection="1">
      <alignment horizontal="center" vertical="center" shrinkToFit="1"/>
      <protection/>
    </xf>
    <xf numFmtId="0" fontId="28" fillId="0" borderId="13" xfId="0" applyFont="1" applyBorder="1" applyAlignment="1" applyProtection="1">
      <alignment horizontal="center" vertical="center" shrinkToFit="1"/>
      <protection/>
    </xf>
    <xf numFmtId="0" fontId="28" fillId="0" borderId="73" xfId="0" applyFont="1" applyBorder="1" applyAlignment="1" applyProtection="1">
      <alignment horizontal="center" vertical="center" shrinkToFit="1"/>
      <protection/>
    </xf>
    <xf numFmtId="0" fontId="28" fillId="0" borderId="0" xfId="0" applyFont="1" applyBorder="1" applyAlignment="1" applyProtection="1">
      <alignment horizontal="center" vertical="center" shrinkToFit="1"/>
      <protection/>
    </xf>
    <xf numFmtId="0" fontId="28" fillId="0" borderId="12" xfId="0" applyFont="1" applyBorder="1" applyAlignment="1" applyProtection="1">
      <alignment horizontal="center" vertical="center" shrinkToFit="1"/>
      <protection/>
    </xf>
    <xf numFmtId="0" fontId="28" fillId="0" borderId="10" xfId="0" applyFont="1" applyBorder="1" applyAlignment="1" applyProtection="1">
      <alignment horizontal="center" vertical="center" shrinkToFit="1"/>
      <protection/>
    </xf>
    <xf numFmtId="0" fontId="28" fillId="0" borderId="56" xfId="0" applyFont="1" applyBorder="1" applyAlignment="1" applyProtection="1">
      <alignment horizontal="center" vertical="center" shrinkToFit="1"/>
      <protection/>
    </xf>
    <xf numFmtId="0" fontId="16" fillId="0" borderId="95" xfId="0" applyFont="1" applyBorder="1" applyAlignment="1" applyProtection="1">
      <alignment horizontal="center" vertical="center" shrinkToFit="1"/>
      <protection/>
    </xf>
    <xf numFmtId="0" fontId="26" fillId="0" borderId="12" xfId="0" applyFont="1" applyBorder="1" applyAlignment="1" applyProtection="1">
      <alignment horizontal="center" vertical="center" shrinkToFit="1"/>
      <protection/>
    </xf>
    <xf numFmtId="0" fontId="20" fillId="0" borderId="0" xfId="0" applyFont="1" applyBorder="1" applyAlignment="1" applyProtection="1">
      <alignment horizontal="right" vertical="center" shrinkToFit="1"/>
      <protection/>
    </xf>
    <xf numFmtId="0" fontId="4" fillId="0" borderId="13" xfId="0" applyFont="1" applyBorder="1" applyAlignment="1" applyProtection="1">
      <alignment horizontal="left" vertical="center"/>
      <protection/>
    </xf>
    <xf numFmtId="0" fontId="1" fillId="0" borderId="83" xfId="0" applyFont="1" applyBorder="1" applyAlignment="1" applyProtection="1">
      <alignment horizontal="center" vertical="center"/>
      <protection/>
    </xf>
    <xf numFmtId="0" fontId="1" fillId="0" borderId="70" xfId="0" applyFont="1" applyBorder="1" applyAlignment="1" applyProtection="1">
      <alignment horizontal="center" vertical="center"/>
      <protection/>
    </xf>
    <xf numFmtId="0" fontId="1" fillId="0" borderId="96" xfId="0" applyFont="1" applyBorder="1" applyAlignment="1" applyProtection="1">
      <alignment horizontal="center" vertical="center"/>
      <protection/>
    </xf>
    <xf numFmtId="20" fontId="16" fillId="0" borderId="0" xfId="0" applyNumberFormat="1" applyFont="1" applyBorder="1" applyAlignment="1" applyProtection="1">
      <alignment horizontal="center" vertical="center"/>
      <protection/>
    </xf>
    <xf numFmtId="185" fontId="19" fillId="0" borderId="13" xfId="0" applyNumberFormat="1" applyFont="1" applyBorder="1" applyAlignment="1" applyProtection="1">
      <alignment horizontal="center" vertical="center"/>
      <protection/>
    </xf>
    <xf numFmtId="185" fontId="19" fillId="0" borderId="0" xfId="0" applyNumberFormat="1" applyFont="1" applyBorder="1" applyAlignment="1" applyProtection="1">
      <alignment horizontal="center" vertical="center"/>
      <protection/>
    </xf>
    <xf numFmtId="185" fontId="19" fillId="0" borderId="10" xfId="0" applyNumberFormat="1" applyFont="1" applyBorder="1" applyAlignment="1" applyProtection="1">
      <alignment horizontal="center" vertical="center"/>
      <protection/>
    </xf>
    <xf numFmtId="0" fontId="26" fillId="0" borderId="35" xfId="0" applyFont="1" applyBorder="1" applyAlignment="1" applyProtection="1">
      <alignment horizontal="center" vertical="center" wrapText="1" shrinkToFit="1"/>
      <protection/>
    </xf>
    <xf numFmtId="186" fontId="16" fillId="0" borderId="13" xfId="0" applyNumberFormat="1" applyFont="1" applyBorder="1" applyAlignment="1" applyProtection="1">
      <alignment horizontal="center" vertical="center" shrinkToFit="1"/>
      <protection/>
    </xf>
    <xf numFmtId="186" fontId="16" fillId="0" borderId="0" xfId="0" applyNumberFormat="1" applyFont="1" applyBorder="1" applyAlignment="1" applyProtection="1">
      <alignment horizontal="center" vertical="center" shrinkToFit="1"/>
      <protection/>
    </xf>
    <xf numFmtId="0" fontId="4" fillId="0" borderId="13" xfId="0" applyFont="1" applyBorder="1" applyAlignment="1" applyProtection="1">
      <alignment horizontal="left" vertical="center" wrapText="1"/>
      <protection/>
    </xf>
    <xf numFmtId="0" fontId="6" fillId="0" borderId="0" xfId="0" applyFont="1" applyBorder="1" applyAlignment="1" applyProtection="1">
      <alignment horizontal="left" vertical="center" shrinkToFit="1"/>
      <protection/>
    </xf>
    <xf numFmtId="185" fontId="16" fillId="0" borderId="35" xfId="0" applyNumberFormat="1" applyFont="1" applyBorder="1" applyAlignment="1" applyProtection="1">
      <alignment horizontal="center" vertical="center" shrinkToFit="1"/>
      <protection/>
    </xf>
    <xf numFmtId="185" fontId="16" fillId="0" borderId="13" xfId="0" applyNumberFormat="1" applyFont="1" applyBorder="1" applyAlignment="1" applyProtection="1">
      <alignment horizontal="center" vertical="center" shrinkToFit="1"/>
      <protection/>
    </xf>
    <xf numFmtId="185" fontId="16" fillId="0" borderId="11" xfId="0" applyNumberFormat="1" applyFont="1" applyBorder="1" applyAlignment="1" applyProtection="1">
      <alignment horizontal="center" vertical="center" shrinkToFit="1"/>
      <protection/>
    </xf>
    <xf numFmtId="185" fontId="16" fillId="0" borderId="0" xfId="0" applyNumberFormat="1" applyFont="1" applyBorder="1" applyAlignment="1" applyProtection="1">
      <alignment horizontal="center" vertical="center" shrinkToFit="1"/>
      <protection/>
    </xf>
    <xf numFmtId="185" fontId="16" fillId="0" borderId="16" xfId="0" applyNumberFormat="1" applyFont="1" applyBorder="1" applyAlignment="1" applyProtection="1">
      <alignment horizontal="center" vertical="center" shrinkToFit="1"/>
      <protection/>
    </xf>
    <xf numFmtId="185" fontId="16" fillId="0" borderId="10" xfId="0" applyNumberFormat="1" applyFont="1" applyBorder="1" applyAlignment="1" applyProtection="1">
      <alignment horizontal="center" vertical="center" shrinkToFit="1"/>
      <protection/>
    </xf>
    <xf numFmtId="0" fontId="29" fillId="0" borderId="13" xfId="0" applyFont="1" applyBorder="1" applyAlignment="1" applyProtection="1">
      <alignment horizontal="center" vertical="center"/>
      <protection/>
    </xf>
    <xf numFmtId="0" fontId="30" fillId="0" borderId="13" xfId="0" applyFont="1" applyBorder="1" applyAlignment="1" applyProtection="1">
      <alignment/>
      <protection/>
    </xf>
    <xf numFmtId="0" fontId="30" fillId="0" borderId="0" xfId="0" applyFont="1" applyBorder="1" applyAlignment="1" applyProtection="1">
      <alignment/>
      <protection/>
    </xf>
    <xf numFmtId="0" fontId="19" fillId="0" borderId="10"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47625</xdr:rowOff>
    </xdr:from>
    <xdr:to>
      <xdr:col>0</xdr:col>
      <xdr:colOff>0</xdr:colOff>
      <xdr:row>24</xdr:row>
      <xdr:rowOff>57150</xdr:rowOff>
    </xdr:to>
    <xdr:sp>
      <xdr:nvSpPr>
        <xdr:cNvPr id="1" name="Text Box 2"/>
        <xdr:cNvSpPr txBox="1">
          <a:spLocks noChangeArrowheads="1"/>
        </xdr:cNvSpPr>
      </xdr:nvSpPr>
      <xdr:spPr>
        <a:xfrm>
          <a:off x="0" y="3305175"/>
          <a:ext cx="0"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ﾌ　ﾘ　ｶﾞ　ﾅ</a:t>
          </a:r>
        </a:p>
      </xdr:txBody>
    </xdr:sp>
    <xdr:clientData/>
  </xdr:twoCellAnchor>
  <xdr:twoCellAnchor>
    <xdr:from>
      <xdr:col>0</xdr:col>
      <xdr:colOff>0</xdr:colOff>
      <xdr:row>26</xdr:row>
      <xdr:rowOff>85725</xdr:rowOff>
    </xdr:from>
    <xdr:to>
      <xdr:col>0</xdr:col>
      <xdr:colOff>0</xdr:colOff>
      <xdr:row>36</xdr:row>
      <xdr:rowOff>104775</xdr:rowOff>
    </xdr:to>
    <xdr:sp>
      <xdr:nvSpPr>
        <xdr:cNvPr id="2" name="Text Box 3"/>
        <xdr:cNvSpPr txBox="1">
          <a:spLocks noChangeArrowheads="1"/>
        </xdr:cNvSpPr>
      </xdr:nvSpPr>
      <xdr:spPr>
        <a:xfrm>
          <a:off x="0" y="3829050"/>
          <a:ext cx="0" cy="16383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＜送迎のみ＞</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送りのみ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迎えのみ</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26</xdr:row>
      <xdr:rowOff>123825</xdr:rowOff>
    </xdr:from>
    <xdr:to>
      <xdr:col>0</xdr:col>
      <xdr:colOff>0</xdr:colOff>
      <xdr:row>36</xdr:row>
      <xdr:rowOff>123825</xdr:rowOff>
    </xdr:to>
    <xdr:sp>
      <xdr:nvSpPr>
        <xdr:cNvPr id="3" name="Text Box 4"/>
        <xdr:cNvSpPr txBox="1">
          <a:spLocks noChangeArrowheads="1"/>
        </xdr:cNvSpPr>
      </xdr:nvSpPr>
      <xdr:spPr>
        <a:xfrm>
          <a:off x="0" y="3867150"/>
          <a:ext cx="0" cy="1619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名</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102"/>
  <sheetViews>
    <sheetView tabSelected="1" zoomScalePageLayoutView="0" workbookViewId="0" topLeftCell="A1">
      <pane xSplit="2" ySplit="2" topLeftCell="C3" activePane="bottomRight" state="frozen"/>
      <selection pane="topLeft" activeCell="A1" sqref="A1"/>
      <selection pane="topRight" activeCell="D1" sqref="D1"/>
      <selection pane="bottomLeft" activeCell="A3" sqref="A3"/>
      <selection pane="bottomRight" activeCell="L16" sqref="L16"/>
    </sheetView>
  </sheetViews>
  <sheetFormatPr defaultColWidth="9.00390625" defaultRowHeight="13.5"/>
  <cols>
    <col min="1" max="1" width="4.75390625" style="15" customWidth="1"/>
    <col min="2" max="2" width="13.625" style="16" customWidth="1"/>
    <col min="3" max="3" width="16.00390625" style="16" bestFit="1" customWidth="1"/>
    <col min="4" max="5" width="6.75390625" style="17" customWidth="1"/>
    <col min="6" max="6" width="13.50390625" style="18" customWidth="1"/>
    <col min="7" max="7" width="9.75390625" style="15" customWidth="1"/>
    <col min="8" max="8" width="37.25390625" style="15" customWidth="1"/>
    <col min="9" max="9" width="15.00390625" style="15" customWidth="1"/>
    <col min="10" max="10" width="7.625" style="19" customWidth="1"/>
    <col min="11" max="11" width="9.50390625" style="17" bestFit="1" customWidth="1"/>
    <col min="12" max="12" width="12.375" style="17" bestFit="1" customWidth="1"/>
    <col min="13" max="13" width="8.375" style="19" bestFit="1" customWidth="1"/>
    <col min="14" max="14" width="9.00390625" style="19" customWidth="1"/>
    <col min="15" max="15" width="9.125" style="20" customWidth="1"/>
    <col min="16" max="16" width="29.00390625" style="227" customWidth="1"/>
    <col min="17" max="17" width="4.75390625" style="21" bestFit="1" customWidth="1"/>
    <col min="18" max="19" width="5.375" style="15" bestFit="1" customWidth="1"/>
    <col min="20" max="25" width="5.375" style="15" customWidth="1"/>
    <col min="26" max="27" width="3.00390625" style="15" bestFit="1" customWidth="1"/>
    <col min="28" max="16384" width="9.00390625" style="15" customWidth="1"/>
  </cols>
  <sheetData>
    <row r="1" spans="1:27" s="13" customFormat="1" ht="84" customHeight="1">
      <c r="A1" s="44" t="s">
        <v>9</v>
      </c>
      <c r="B1" s="45" t="s">
        <v>16</v>
      </c>
      <c r="C1" s="45" t="s">
        <v>44</v>
      </c>
      <c r="D1" s="45" t="s">
        <v>7</v>
      </c>
      <c r="E1" s="45" t="s">
        <v>130</v>
      </c>
      <c r="F1" s="46" t="s">
        <v>11</v>
      </c>
      <c r="G1" s="45" t="s">
        <v>2</v>
      </c>
      <c r="H1" s="45" t="s">
        <v>3</v>
      </c>
      <c r="I1" s="45" t="s">
        <v>196</v>
      </c>
      <c r="J1" s="47" t="s">
        <v>17</v>
      </c>
      <c r="K1" s="45" t="s">
        <v>12</v>
      </c>
      <c r="L1" s="45" t="s">
        <v>69</v>
      </c>
      <c r="M1" s="47" t="s">
        <v>5</v>
      </c>
      <c r="N1" s="48" t="s">
        <v>6</v>
      </c>
      <c r="O1" s="207" t="s">
        <v>175</v>
      </c>
      <c r="P1" s="141" t="s">
        <v>123</v>
      </c>
      <c r="Q1" s="184"/>
      <c r="R1" s="42" t="s">
        <v>147</v>
      </c>
      <c r="S1" s="42" t="s">
        <v>148</v>
      </c>
      <c r="T1" s="42" t="s">
        <v>149</v>
      </c>
      <c r="U1" s="42" t="s">
        <v>150</v>
      </c>
      <c r="V1" s="42" t="s">
        <v>151</v>
      </c>
      <c r="W1" s="42" t="s">
        <v>152</v>
      </c>
      <c r="X1" s="42" t="s">
        <v>153</v>
      </c>
      <c r="Y1" s="42" t="s">
        <v>154</v>
      </c>
      <c r="Z1" s="42" t="s">
        <v>18</v>
      </c>
      <c r="AA1" s="42" t="s">
        <v>66</v>
      </c>
    </row>
    <row r="2" spans="1:27" s="56" customFormat="1" ht="27">
      <c r="A2" s="209" t="s">
        <v>84</v>
      </c>
      <c r="B2" s="210" t="s">
        <v>85</v>
      </c>
      <c r="C2" s="210" t="s">
        <v>99</v>
      </c>
      <c r="D2" s="210" t="s">
        <v>8</v>
      </c>
      <c r="E2" s="210" t="s">
        <v>146</v>
      </c>
      <c r="F2" s="211">
        <v>40512</v>
      </c>
      <c r="G2" s="212" t="s">
        <v>100</v>
      </c>
      <c r="H2" s="212" t="s">
        <v>101</v>
      </c>
      <c r="I2" s="212" t="s">
        <v>102</v>
      </c>
      <c r="J2" s="233" t="s">
        <v>197</v>
      </c>
      <c r="K2" s="210" t="s">
        <v>86</v>
      </c>
      <c r="L2" s="210" t="s">
        <v>103</v>
      </c>
      <c r="M2" s="213" t="s">
        <v>67</v>
      </c>
      <c r="N2" s="213" t="s">
        <v>68</v>
      </c>
      <c r="O2" s="210" t="s">
        <v>176</v>
      </c>
      <c r="P2" s="228" t="s">
        <v>179</v>
      </c>
      <c r="Q2" s="214"/>
      <c r="R2" s="215"/>
      <c r="S2" s="215"/>
      <c r="T2" s="215"/>
      <c r="U2" s="215"/>
      <c r="V2" s="215"/>
      <c r="W2" s="215"/>
      <c r="X2" s="215"/>
      <c r="Y2" s="215"/>
      <c r="Z2" s="215"/>
      <c r="AA2" s="215"/>
    </row>
    <row r="3" spans="1:27" s="51" customFormat="1" ht="13.5">
      <c r="A3" s="216">
        <v>1</v>
      </c>
      <c r="B3" s="217"/>
      <c r="C3" s="218"/>
      <c r="D3" s="219"/>
      <c r="E3" s="220"/>
      <c r="F3" s="221"/>
      <c r="G3" s="218"/>
      <c r="H3" s="218"/>
      <c r="I3" s="218"/>
      <c r="J3" s="222"/>
      <c r="K3" s="219"/>
      <c r="L3" s="219"/>
      <c r="M3" s="219"/>
      <c r="N3" s="219"/>
      <c r="O3" s="219"/>
      <c r="P3" s="225"/>
      <c r="Q3" s="230">
        <f>CONCATENATE(INDEX($B$3:$P$102,1,3),INDEX($B$3:$P$102,1,4))</f>
      </c>
      <c r="R3" s="216">
        <f>IF($Q3=$R$1,1,"")</f>
      </c>
      <c r="S3" s="216">
        <f>IF($Q3=$S$1,1,"")</f>
      </c>
      <c r="T3" s="216">
        <f>IF($Q3=$T$1,1,"")</f>
      </c>
      <c r="U3" s="216">
        <f>IF($Q3=$U$1,1,"")</f>
      </c>
      <c r="V3" s="216">
        <f>IF($Q3=$V$1,1,"")</f>
      </c>
      <c r="W3" s="216">
        <f>IF($Q3=$W$1,1,"")</f>
      </c>
      <c r="X3" s="216">
        <f>IF($Q3=$X$1,1,"")</f>
      </c>
      <c r="Y3" s="216">
        <f>IF($Q3=$Y$1,1,"")</f>
      </c>
      <c r="Z3" s="216">
        <f>IF(INDEX($B$3:$O$102,1,9)="A",1,"")</f>
      </c>
      <c r="AA3" s="216">
        <f>IF(INDEX($B$3:$O$102,1,9)="B",1,"")</f>
      </c>
    </row>
    <row r="4" spans="1:27" s="51" customFormat="1" ht="13.5">
      <c r="A4" s="216">
        <v>2</v>
      </c>
      <c r="B4" s="217"/>
      <c r="C4" s="218"/>
      <c r="D4" s="219"/>
      <c r="E4" s="220"/>
      <c r="F4" s="221"/>
      <c r="G4" s="218"/>
      <c r="H4" s="218"/>
      <c r="I4" s="218"/>
      <c r="J4" s="222"/>
      <c r="K4" s="219"/>
      <c r="L4" s="219"/>
      <c r="M4" s="219"/>
      <c r="N4" s="219"/>
      <c r="O4" s="219"/>
      <c r="P4" s="226"/>
      <c r="Q4" s="230">
        <f>CONCATENATE(INDEX($B$3:$P$102,2,3),INDEX($B$3:$P$102,2,4))</f>
      </c>
      <c r="R4" s="216">
        <f aca="true" t="shared" si="0" ref="R4:R67">IF($Q4=$R$1,1,"")</f>
      </c>
      <c r="S4" s="216">
        <f aca="true" t="shared" si="1" ref="S4:S67">IF($Q4=$S$1,1,"")</f>
      </c>
      <c r="T4" s="216">
        <f aca="true" t="shared" si="2" ref="T4:T67">IF($Q4=$T$1,1,"")</f>
      </c>
      <c r="U4" s="216">
        <f aca="true" t="shared" si="3" ref="U4:U67">IF($Q4=$U$1,1,"")</f>
      </c>
      <c r="V4" s="216">
        <f aca="true" t="shared" si="4" ref="V4:V67">IF($Q4=$V$1,1,"")</f>
      </c>
      <c r="W4" s="216">
        <f aca="true" t="shared" si="5" ref="W4:W67">IF($Q4=$W$1,1,"")</f>
      </c>
      <c r="X4" s="216">
        <f aca="true" t="shared" si="6" ref="X4:X67">IF($Q4=$X$1,1,"")</f>
      </c>
      <c r="Y4" s="216">
        <f aca="true" t="shared" si="7" ref="Y4:Y67">IF($Q4=$Y$1,1,"")</f>
      </c>
      <c r="Z4" s="216">
        <f>IF(INDEX($B$3:$O$102,2,9)="A",1,"")</f>
      </c>
      <c r="AA4" s="216">
        <f>IF(INDEX($B$3:$O$102,2,9)="B",1,"")</f>
      </c>
    </row>
    <row r="5" spans="1:27" s="51" customFormat="1" ht="13.5">
      <c r="A5" s="216">
        <v>3</v>
      </c>
      <c r="B5" s="217"/>
      <c r="C5" s="218"/>
      <c r="D5" s="219"/>
      <c r="E5" s="220"/>
      <c r="F5" s="221"/>
      <c r="G5" s="218"/>
      <c r="H5" s="218"/>
      <c r="I5" s="218"/>
      <c r="J5" s="222"/>
      <c r="K5" s="219"/>
      <c r="L5" s="219"/>
      <c r="M5" s="219"/>
      <c r="N5" s="219"/>
      <c r="O5" s="219"/>
      <c r="P5" s="226"/>
      <c r="Q5" s="230">
        <f>CONCATENATE(INDEX($B$3:$P$102,3,3),INDEX($B$3:$P$102,3,4))</f>
      </c>
      <c r="R5" s="216">
        <f t="shared" si="0"/>
      </c>
      <c r="S5" s="216">
        <f t="shared" si="1"/>
      </c>
      <c r="T5" s="216">
        <f t="shared" si="2"/>
      </c>
      <c r="U5" s="216">
        <f t="shared" si="3"/>
      </c>
      <c r="V5" s="216">
        <f t="shared" si="4"/>
      </c>
      <c r="W5" s="216">
        <f t="shared" si="5"/>
      </c>
      <c r="X5" s="216">
        <f t="shared" si="6"/>
      </c>
      <c r="Y5" s="216">
        <f t="shared" si="7"/>
      </c>
      <c r="Z5" s="216">
        <f>IF(INDEX($B$3:$O$102,3,9)="A",1,"")</f>
      </c>
      <c r="AA5" s="216">
        <f>IF(INDEX($B$3:$O$102,3,9)="B",1,"")</f>
      </c>
    </row>
    <row r="6" spans="1:27" s="51" customFormat="1" ht="13.5">
      <c r="A6" s="216">
        <v>4</v>
      </c>
      <c r="B6" s="217"/>
      <c r="C6" s="218"/>
      <c r="D6" s="219"/>
      <c r="E6" s="220"/>
      <c r="F6" s="221"/>
      <c r="G6" s="218"/>
      <c r="H6" s="218"/>
      <c r="I6" s="218"/>
      <c r="J6" s="222"/>
      <c r="K6" s="219"/>
      <c r="L6" s="219"/>
      <c r="M6" s="219"/>
      <c r="N6" s="219"/>
      <c r="O6" s="219"/>
      <c r="P6" s="226"/>
      <c r="Q6" s="230">
        <f>CONCATENATE(INDEX($B$3:$P$102,4,3),INDEX($B$3:$P$102,4,4))</f>
      </c>
      <c r="R6" s="216">
        <f t="shared" si="0"/>
      </c>
      <c r="S6" s="216">
        <f t="shared" si="1"/>
      </c>
      <c r="T6" s="216">
        <f t="shared" si="2"/>
      </c>
      <c r="U6" s="216">
        <f t="shared" si="3"/>
      </c>
      <c r="V6" s="216">
        <f t="shared" si="4"/>
      </c>
      <c r="W6" s="216">
        <f t="shared" si="5"/>
      </c>
      <c r="X6" s="216">
        <f t="shared" si="6"/>
      </c>
      <c r="Y6" s="216">
        <f t="shared" si="7"/>
      </c>
      <c r="Z6" s="216">
        <f>IF(INDEX($B$3:$O$102,4,9)="A",1,"")</f>
      </c>
      <c r="AA6" s="216">
        <f>IF(INDEX($B$3:$O$102,4,9)="B",1,"")</f>
      </c>
    </row>
    <row r="7" spans="1:27" s="223" customFormat="1" ht="13.5">
      <c r="A7" s="216">
        <v>5</v>
      </c>
      <c r="B7" s="217"/>
      <c r="C7" s="218"/>
      <c r="D7" s="219"/>
      <c r="E7" s="220"/>
      <c r="F7" s="221"/>
      <c r="G7" s="218"/>
      <c r="H7" s="218"/>
      <c r="I7" s="218"/>
      <c r="J7" s="222"/>
      <c r="K7" s="219"/>
      <c r="L7" s="219"/>
      <c r="M7" s="219"/>
      <c r="N7" s="219"/>
      <c r="O7" s="219"/>
      <c r="P7" s="226"/>
      <c r="Q7" s="230">
        <f>CONCATENATE(INDEX($B$3:$P$102,5,3),INDEX($B$3:$P$102,5,4))</f>
      </c>
      <c r="R7" s="216">
        <f t="shared" si="0"/>
      </c>
      <c r="S7" s="216">
        <f t="shared" si="1"/>
      </c>
      <c r="T7" s="216">
        <f t="shared" si="2"/>
      </c>
      <c r="U7" s="216">
        <f t="shared" si="3"/>
      </c>
      <c r="V7" s="216">
        <f t="shared" si="4"/>
      </c>
      <c r="W7" s="216">
        <f t="shared" si="5"/>
      </c>
      <c r="X7" s="216">
        <f t="shared" si="6"/>
      </c>
      <c r="Y7" s="216">
        <f t="shared" si="7"/>
      </c>
      <c r="Z7" s="216">
        <f>IF(INDEX($B$3:$O$102,5,9)="A",1,"")</f>
      </c>
      <c r="AA7" s="216">
        <f>IF(INDEX($B$3:$O$102,5,9)="B",1,"")</f>
      </c>
    </row>
    <row r="8" spans="1:27" s="223" customFormat="1" ht="13.5">
      <c r="A8" s="216">
        <v>6</v>
      </c>
      <c r="B8" s="217"/>
      <c r="C8" s="218"/>
      <c r="D8" s="219"/>
      <c r="E8" s="220"/>
      <c r="F8" s="221"/>
      <c r="G8" s="218"/>
      <c r="H8" s="218"/>
      <c r="I8" s="218"/>
      <c r="J8" s="222"/>
      <c r="K8" s="219"/>
      <c r="L8" s="219"/>
      <c r="M8" s="219"/>
      <c r="N8" s="219"/>
      <c r="O8" s="219"/>
      <c r="P8" s="226"/>
      <c r="Q8" s="230">
        <f>CONCATENATE(INDEX($B$3:$P$102,6,3),INDEX($B$3:$P$102,6,4))</f>
      </c>
      <c r="R8" s="216">
        <f t="shared" si="0"/>
      </c>
      <c r="S8" s="216">
        <f t="shared" si="1"/>
      </c>
      <c r="T8" s="216">
        <f t="shared" si="2"/>
      </c>
      <c r="U8" s="216">
        <f t="shared" si="3"/>
      </c>
      <c r="V8" s="216">
        <f t="shared" si="4"/>
      </c>
      <c r="W8" s="216">
        <f t="shared" si="5"/>
      </c>
      <c r="X8" s="216">
        <f t="shared" si="6"/>
      </c>
      <c r="Y8" s="216">
        <f t="shared" si="7"/>
      </c>
      <c r="Z8" s="216">
        <f>IF(INDEX($B$3:$O$102,6,9)="A",1,"")</f>
      </c>
      <c r="AA8" s="216">
        <f>IF(INDEX($B$3:$O$102,6,9)="B",1,"")</f>
      </c>
    </row>
    <row r="9" spans="1:27" s="223" customFormat="1" ht="13.5">
      <c r="A9" s="216">
        <v>7</v>
      </c>
      <c r="B9" s="217"/>
      <c r="C9" s="218"/>
      <c r="D9" s="219"/>
      <c r="E9" s="220"/>
      <c r="F9" s="221"/>
      <c r="G9" s="218"/>
      <c r="H9" s="218"/>
      <c r="I9" s="218"/>
      <c r="J9" s="222"/>
      <c r="K9" s="219"/>
      <c r="L9" s="219"/>
      <c r="M9" s="219"/>
      <c r="N9" s="219"/>
      <c r="O9" s="219"/>
      <c r="P9" s="226"/>
      <c r="Q9" s="230">
        <f>CONCATENATE(INDEX($B$3:$P$102,7,3),INDEX($B$3:$P$102,7,4))</f>
      </c>
      <c r="R9" s="216">
        <f t="shared" si="0"/>
      </c>
      <c r="S9" s="216">
        <f t="shared" si="1"/>
      </c>
      <c r="T9" s="216">
        <f t="shared" si="2"/>
      </c>
      <c r="U9" s="216">
        <f t="shared" si="3"/>
      </c>
      <c r="V9" s="216">
        <f t="shared" si="4"/>
      </c>
      <c r="W9" s="216">
        <f t="shared" si="5"/>
      </c>
      <c r="X9" s="216">
        <f t="shared" si="6"/>
      </c>
      <c r="Y9" s="216">
        <f t="shared" si="7"/>
      </c>
      <c r="Z9" s="216">
        <f>IF(INDEX($B$3:$O$102,7,9)="A",1,"")</f>
      </c>
      <c r="AA9" s="216">
        <f>IF(INDEX($B$3:$O$102,7,9)="B",1,"")</f>
      </c>
    </row>
    <row r="10" spans="1:27" s="51" customFormat="1" ht="13.5">
      <c r="A10" s="216">
        <v>8</v>
      </c>
      <c r="B10" s="217"/>
      <c r="C10" s="218"/>
      <c r="D10" s="219"/>
      <c r="E10" s="220"/>
      <c r="F10" s="221"/>
      <c r="G10" s="218"/>
      <c r="H10" s="218"/>
      <c r="I10" s="218"/>
      <c r="J10" s="222"/>
      <c r="K10" s="219"/>
      <c r="L10" s="219"/>
      <c r="M10" s="219"/>
      <c r="N10" s="219"/>
      <c r="O10" s="219"/>
      <c r="P10" s="226"/>
      <c r="Q10" s="230">
        <f>CONCATENATE(INDEX($B$3:$P$102,8,3),INDEX($B$3:$P$102,8,4))</f>
      </c>
      <c r="R10" s="216">
        <f t="shared" si="0"/>
      </c>
      <c r="S10" s="216">
        <f t="shared" si="1"/>
      </c>
      <c r="T10" s="216">
        <f t="shared" si="2"/>
      </c>
      <c r="U10" s="216">
        <f t="shared" si="3"/>
      </c>
      <c r="V10" s="216">
        <f t="shared" si="4"/>
      </c>
      <c r="W10" s="216">
        <f t="shared" si="5"/>
      </c>
      <c r="X10" s="216">
        <f t="shared" si="6"/>
      </c>
      <c r="Y10" s="216">
        <f t="shared" si="7"/>
      </c>
      <c r="Z10" s="216">
        <f>IF(INDEX($B$3:$O$102,8,9)="A",1,"")</f>
      </c>
      <c r="AA10" s="216">
        <f>IF(INDEX($B$3:$O$102,8,9)="B",1,"")</f>
      </c>
    </row>
    <row r="11" spans="1:27" s="223" customFormat="1" ht="13.5">
      <c r="A11" s="216">
        <v>9</v>
      </c>
      <c r="B11" s="217"/>
      <c r="C11" s="218"/>
      <c r="D11" s="219"/>
      <c r="E11" s="220"/>
      <c r="F11" s="221"/>
      <c r="G11" s="218"/>
      <c r="H11" s="218"/>
      <c r="I11" s="218"/>
      <c r="J11" s="222"/>
      <c r="K11" s="219"/>
      <c r="L11" s="219"/>
      <c r="M11" s="219"/>
      <c r="N11" s="219"/>
      <c r="O11" s="219"/>
      <c r="P11" s="226"/>
      <c r="Q11" s="230">
        <f>CONCATENATE(INDEX($B$3:$P$102,9,3),INDEX($B$3:$P$102,9,4))</f>
      </c>
      <c r="R11" s="216">
        <f t="shared" si="0"/>
      </c>
      <c r="S11" s="216">
        <f t="shared" si="1"/>
      </c>
      <c r="T11" s="216">
        <f t="shared" si="2"/>
      </c>
      <c r="U11" s="216">
        <f t="shared" si="3"/>
      </c>
      <c r="V11" s="216">
        <f t="shared" si="4"/>
      </c>
      <c r="W11" s="216">
        <f t="shared" si="5"/>
      </c>
      <c r="X11" s="216">
        <f t="shared" si="6"/>
      </c>
      <c r="Y11" s="216">
        <f t="shared" si="7"/>
      </c>
      <c r="Z11" s="216">
        <f>IF(INDEX($B$3:$O$102,9,9)="A",1,"")</f>
      </c>
      <c r="AA11" s="216">
        <f>IF(INDEX($B$3:$O$102,9,9)="B",1,"")</f>
      </c>
    </row>
    <row r="12" spans="1:27" s="223" customFormat="1" ht="13.5">
      <c r="A12" s="216">
        <v>10</v>
      </c>
      <c r="B12" s="217"/>
      <c r="C12" s="218"/>
      <c r="D12" s="219"/>
      <c r="E12" s="220"/>
      <c r="F12" s="221"/>
      <c r="G12" s="218"/>
      <c r="H12" s="218"/>
      <c r="I12" s="218"/>
      <c r="J12" s="222"/>
      <c r="K12" s="219"/>
      <c r="L12" s="219"/>
      <c r="M12" s="219"/>
      <c r="N12" s="219"/>
      <c r="O12" s="219"/>
      <c r="P12" s="226"/>
      <c r="Q12" s="230">
        <f>CONCATENATE(INDEX($B$3:$P$102,10,3),INDEX($B$3:$P$102,10,4))</f>
      </c>
      <c r="R12" s="216">
        <f t="shared" si="0"/>
      </c>
      <c r="S12" s="216">
        <f t="shared" si="1"/>
      </c>
      <c r="T12" s="216">
        <f t="shared" si="2"/>
      </c>
      <c r="U12" s="216">
        <f t="shared" si="3"/>
      </c>
      <c r="V12" s="216">
        <f t="shared" si="4"/>
      </c>
      <c r="W12" s="216">
        <f t="shared" si="5"/>
      </c>
      <c r="X12" s="216">
        <f t="shared" si="6"/>
      </c>
      <c r="Y12" s="216">
        <f t="shared" si="7"/>
      </c>
      <c r="Z12" s="216">
        <f>IF(INDEX($B$3:$O$102,10,9)="A",1,"")</f>
      </c>
      <c r="AA12" s="216">
        <f>IF(INDEX($B$3:$O$102,10,9)="B",1,"")</f>
      </c>
    </row>
    <row r="13" spans="1:27" s="223" customFormat="1" ht="13.5">
      <c r="A13" s="216">
        <v>11</v>
      </c>
      <c r="B13" s="217"/>
      <c r="C13" s="218"/>
      <c r="D13" s="219"/>
      <c r="E13" s="220"/>
      <c r="F13" s="221"/>
      <c r="G13" s="218"/>
      <c r="H13" s="218"/>
      <c r="I13" s="218"/>
      <c r="J13" s="222"/>
      <c r="K13" s="219"/>
      <c r="L13" s="219"/>
      <c r="M13" s="219"/>
      <c r="N13" s="219"/>
      <c r="O13" s="219"/>
      <c r="P13" s="226"/>
      <c r="Q13" s="230">
        <f>CONCATENATE(INDEX($B$3:$P$102,11,3),INDEX($B$3:$P$102,11,4))</f>
      </c>
      <c r="R13" s="216">
        <f t="shared" si="0"/>
      </c>
      <c r="S13" s="216">
        <f t="shared" si="1"/>
      </c>
      <c r="T13" s="216">
        <f t="shared" si="2"/>
      </c>
      <c r="U13" s="216">
        <f t="shared" si="3"/>
      </c>
      <c r="V13" s="216">
        <f t="shared" si="4"/>
      </c>
      <c r="W13" s="216">
        <f t="shared" si="5"/>
      </c>
      <c r="X13" s="216">
        <f t="shared" si="6"/>
      </c>
      <c r="Y13" s="216">
        <f t="shared" si="7"/>
      </c>
      <c r="Z13" s="216">
        <f>IF(INDEX($B$3:$O$102,11,9)="A",1,"")</f>
      </c>
      <c r="AA13" s="216">
        <f>IF(INDEX($B$3:$O$102,11,9)="B",1,"")</f>
      </c>
    </row>
    <row r="14" spans="1:27" s="223" customFormat="1" ht="13.5">
      <c r="A14" s="216">
        <v>12</v>
      </c>
      <c r="B14" s="217"/>
      <c r="C14" s="218"/>
      <c r="D14" s="219"/>
      <c r="E14" s="220"/>
      <c r="F14" s="221"/>
      <c r="G14" s="218"/>
      <c r="H14" s="218"/>
      <c r="I14" s="218"/>
      <c r="J14" s="222"/>
      <c r="K14" s="219"/>
      <c r="L14" s="219"/>
      <c r="M14" s="219"/>
      <c r="N14" s="219"/>
      <c r="O14" s="219"/>
      <c r="P14" s="226"/>
      <c r="Q14" s="230">
        <f>CONCATENATE(INDEX($B$3:$P$102,12,3),INDEX($B$3:$P$102,12,4))</f>
      </c>
      <c r="R14" s="216">
        <f t="shared" si="0"/>
      </c>
      <c r="S14" s="216">
        <f t="shared" si="1"/>
      </c>
      <c r="T14" s="216">
        <f t="shared" si="2"/>
      </c>
      <c r="U14" s="216">
        <f t="shared" si="3"/>
      </c>
      <c r="V14" s="216">
        <f t="shared" si="4"/>
      </c>
      <c r="W14" s="216">
        <f t="shared" si="5"/>
      </c>
      <c r="X14" s="216">
        <f t="shared" si="6"/>
      </c>
      <c r="Y14" s="216">
        <f t="shared" si="7"/>
      </c>
      <c r="Z14" s="216">
        <f>IF(INDEX($B$3:$O$102,12,9)="A",1,"")</f>
      </c>
      <c r="AA14" s="216">
        <f>IF(INDEX($B$3:$O$102,12,9)="B",1,"")</f>
      </c>
    </row>
    <row r="15" spans="1:27" s="223" customFormat="1" ht="13.5">
      <c r="A15" s="216">
        <v>13</v>
      </c>
      <c r="B15" s="217"/>
      <c r="C15" s="218"/>
      <c r="D15" s="219"/>
      <c r="E15" s="220"/>
      <c r="F15" s="221"/>
      <c r="G15" s="218"/>
      <c r="H15" s="218"/>
      <c r="I15" s="218"/>
      <c r="J15" s="222"/>
      <c r="K15" s="219"/>
      <c r="L15" s="219"/>
      <c r="M15" s="219"/>
      <c r="N15" s="219"/>
      <c r="O15" s="219"/>
      <c r="P15" s="226"/>
      <c r="Q15" s="230">
        <f>CONCATENATE(INDEX($B$3:$P$102,13,3),INDEX($B$3:$P$102,13,4))</f>
      </c>
      <c r="R15" s="216">
        <f t="shared" si="0"/>
      </c>
      <c r="S15" s="216">
        <f t="shared" si="1"/>
      </c>
      <c r="T15" s="216">
        <f t="shared" si="2"/>
      </c>
      <c r="U15" s="216">
        <f t="shared" si="3"/>
      </c>
      <c r="V15" s="216">
        <f t="shared" si="4"/>
      </c>
      <c r="W15" s="216">
        <f t="shared" si="5"/>
      </c>
      <c r="X15" s="216">
        <f t="shared" si="6"/>
      </c>
      <c r="Y15" s="216">
        <f t="shared" si="7"/>
      </c>
      <c r="Z15" s="216">
        <f>IF(INDEX($B$3:$O$102,13,9)="A",1,"")</f>
      </c>
      <c r="AA15" s="216">
        <f>IF(INDEX($B$3:$O$102,13,9)="B",1,"")</f>
      </c>
    </row>
    <row r="16" spans="1:27" s="51" customFormat="1" ht="12.75">
      <c r="A16" s="216">
        <v>14</v>
      </c>
      <c r="B16" s="217"/>
      <c r="C16" s="218"/>
      <c r="D16" s="219"/>
      <c r="E16" s="220"/>
      <c r="F16" s="221"/>
      <c r="G16" s="218"/>
      <c r="H16" s="218"/>
      <c r="I16" s="218"/>
      <c r="J16" s="222"/>
      <c r="K16" s="219"/>
      <c r="L16" s="219"/>
      <c r="M16" s="219"/>
      <c r="N16" s="219"/>
      <c r="O16" s="219"/>
      <c r="P16" s="226"/>
      <c r="Q16" s="230">
        <f>CONCATENATE(INDEX($B$3:$P$102,14,3),INDEX($B$3:$P$102,14,4))</f>
      </c>
      <c r="R16" s="216">
        <f t="shared" si="0"/>
      </c>
      <c r="S16" s="216">
        <f t="shared" si="1"/>
      </c>
      <c r="T16" s="216">
        <f t="shared" si="2"/>
      </c>
      <c r="U16" s="216">
        <f t="shared" si="3"/>
      </c>
      <c r="V16" s="216">
        <f t="shared" si="4"/>
      </c>
      <c r="W16" s="216">
        <f t="shared" si="5"/>
      </c>
      <c r="X16" s="216">
        <f t="shared" si="6"/>
      </c>
      <c r="Y16" s="216">
        <f t="shared" si="7"/>
      </c>
      <c r="Z16" s="216">
        <f>IF(INDEX($B$3:$O$102,14,9)="A",1,"")</f>
      </c>
      <c r="AA16" s="216">
        <f>IF(INDEX($B$3:$O$102,14,9)="B",1,"")</f>
      </c>
    </row>
    <row r="17" spans="1:27" s="51" customFormat="1" ht="12.75">
      <c r="A17" s="216">
        <v>15</v>
      </c>
      <c r="B17" s="217"/>
      <c r="C17" s="218"/>
      <c r="D17" s="219"/>
      <c r="E17" s="220"/>
      <c r="F17" s="221"/>
      <c r="G17" s="218"/>
      <c r="H17" s="218"/>
      <c r="I17" s="218"/>
      <c r="J17" s="222"/>
      <c r="K17" s="219"/>
      <c r="L17" s="219"/>
      <c r="M17" s="219"/>
      <c r="N17" s="219"/>
      <c r="O17" s="219"/>
      <c r="P17" s="226"/>
      <c r="Q17" s="230">
        <f>CONCATENATE(INDEX($B$3:$P$102,15,3),INDEX($B$3:$P$102,15,4))</f>
      </c>
      <c r="R17" s="216">
        <f t="shared" si="0"/>
      </c>
      <c r="S17" s="216">
        <f t="shared" si="1"/>
      </c>
      <c r="T17" s="216">
        <f t="shared" si="2"/>
      </c>
      <c r="U17" s="216">
        <f t="shared" si="3"/>
      </c>
      <c r="V17" s="216">
        <f t="shared" si="4"/>
      </c>
      <c r="W17" s="216">
        <f t="shared" si="5"/>
      </c>
      <c r="X17" s="216">
        <f t="shared" si="6"/>
      </c>
      <c r="Y17" s="216">
        <f t="shared" si="7"/>
      </c>
      <c r="Z17" s="216">
        <f>IF(INDEX($B$3:$O$102,15,9)="A",1,"")</f>
      </c>
      <c r="AA17" s="216">
        <f>IF(INDEX($B$3:$O$102,15,9)="B",1,"")</f>
      </c>
    </row>
    <row r="18" spans="1:27" s="224" customFormat="1" ht="12.75">
      <c r="A18" s="216">
        <v>16</v>
      </c>
      <c r="B18" s="217"/>
      <c r="C18" s="218"/>
      <c r="D18" s="219"/>
      <c r="E18" s="220"/>
      <c r="F18" s="221"/>
      <c r="G18" s="218"/>
      <c r="H18" s="218"/>
      <c r="I18" s="218"/>
      <c r="J18" s="222"/>
      <c r="K18" s="219"/>
      <c r="L18" s="219"/>
      <c r="M18" s="219"/>
      <c r="N18" s="219"/>
      <c r="O18" s="219"/>
      <c r="P18" s="226"/>
      <c r="Q18" s="230">
        <f>CONCATENATE(INDEX($B$3:$P$102,16,3),INDEX($B$3:$P$102,16,4))</f>
      </c>
      <c r="R18" s="216">
        <f t="shared" si="0"/>
      </c>
      <c r="S18" s="216">
        <f t="shared" si="1"/>
      </c>
      <c r="T18" s="216">
        <f t="shared" si="2"/>
      </c>
      <c r="U18" s="216">
        <f t="shared" si="3"/>
      </c>
      <c r="V18" s="216">
        <f t="shared" si="4"/>
      </c>
      <c r="W18" s="216">
        <f t="shared" si="5"/>
      </c>
      <c r="X18" s="216">
        <f t="shared" si="6"/>
      </c>
      <c r="Y18" s="216">
        <f t="shared" si="7"/>
      </c>
      <c r="Z18" s="216">
        <f>IF(INDEX($B$3:$O$102,16,9)="A",1,"")</f>
      </c>
      <c r="AA18" s="216">
        <f>IF(INDEX($B$3:$O$102,16,9)="B",1,"")</f>
      </c>
    </row>
    <row r="19" spans="1:27" s="224" customFormat="1" ht="12.75">
      <c r="A19" s="216">
        <v>17</v>
      </c>
      <c r="B19" s="217"/>
      <c r="C19" s="218"/>
      <c r="D19" s="219"/>
      <c r="E19" s="220"/>
      <c r="F19" s="221"/>
      <c r="G19" s="218"/>
      <c r="H19" s="218"/>
      <c r="I19" s="218"/>
      <c r="J19" s="222"/>
      <c r="K19" s="219"/>
      <c r="L19" s="219"/>
      <c r="M19" s="219"/>
      <c r="N19" s="219"/>
      <c r="O19" s="219"/>
      <c r="P19" s="226"/>
      <c r="Q19" s="230">
        <f>CONCATENATE(INDEX($B$3:$P$102,17,3),INDEX($B$3:$P$102,17,4))</f>
      </c>
      <c r="R19" s="216">
        <f t="shared" si="0"/>
      </c>
      <c r="S19" s="216">
        <f t="shared" si="1"/>
      </c>
      <c r="T19" s="216">
        <f t="shared" si="2"/>
      </c>
      <c r="U19" s="216">
        <f t="shared" si="3"/>
      </c>
      <c r="V19" s="216">
        <f t="shared" si="4"/>
      </c>
      <c r="W19" s="216">
        <f t="shared" si="5"/>
      </c>
      <c r="X19" s="216">
        <f t="shared" si="6"/>
      </c>
      <c r="Y19" s="216">
        <f t="shared" si="7"/>
      </c>
      <c r="Z19" s="216">
        <f>IF(INDEX($B$3:$O$102,17,9)="A",1,"")</f>
      </c>
      <c r="AA19" s="216">
        <f>IF(INDEX($B$3:$O$102,17,9)="B",1,"")</f>
      </c>
    </row>
    <row r="20" spans="1:27" s="224" customFormat="1" ht="12.75">
      <c r="A20" s="216">
        <v>18</v>
      </c>
      <c r="B20" s="217"/>
      <c r="C20" s="218"/>
      <c r="D20" s="219"/>
      <c r="E20" s="220"/>
      <c r="F20" s="221"/>
      <c r="G20" s="218"/>
      <c r="H20" s="218"/>
      <c r="I20" s="218"/>
      <c r="J20" s="222"/>
      <c r="K20" s="219"/>
      <c r="L20" s="219"/>
      <c r="M20" s="219"/>
      <c r="N20" s="219"/>
      <c r="O20" s="219"/>
      <c r="P20" s="226"/>
      <c r="Q20" s="230">
        <f>CONCATENATE(INDEX($B$3:$P$102,18,3),INDEX($B$3:$P$102,18,4))</f>
      </c>
      <c r="R20" s="216">
        <f t="shared" si="0"/>
      </c>
      <c r="S20" s="216">
        <f t="shared" si="1"/>
      </c>
      <c r="T20" s="216">
        <f t="shared" si="2"/>
      </c>
      <c r="U20" s="216">
        <f t="shared" si="3"/>
      </c>
      <c r="V20" s="216">
        <f t="shared" si="4"/>
      </c>
      <c r="W20" s="216">
        <f t="shared" si="5"/>
      </c>
      <c r="X20" s="216">
        <f t="shared" si="6"/>
      </c>
      <c r="Y20" s="216">
        <f t="shared" si="7"/>
      </c>
      <c r="Z20" s="216">
        <f>IF(INDEX($B$3:$O$102,18,9)="A",1,"")</f>
      </c>
      <c r="AA20" s="216">
        <f>IF(INDEX($B$3:$O$102,18,9)="B",1,"")</f>
      </c>
    </row>
    <row r="21" spans="1:27" s="224" customFormat="1" ht="12.75">
      <c r="A21" s="216">
        <v>19</v>
      </c>
      <c r="B21" s="217"/>
      <c r="C21" s="218"/>
      <c r="D21" s="219"/>
      <c r="E21" s="220"/>
      <c r="F21" s="221"/>
      <c r="G21" s="218"/>
      <c r="H21" s="218"/>
      <c r="I21" s="218"/>
      <c r="J21" s="222"/>
      <c r="K21" s="219"/>
      <c r="L21" s="219"/>
      <c r="M21" s="219"/>
      <c r="N21" s="219"/>
      <c r="O21" s="219"/>
      <c r="P21" s="226"/>
      <c r="Q21" s="230">
        <f>CONCATENATE(INDEX($B$3:$P$102,19,3),INDEX($B$3:$P$102,19,4))</f>
      </c>
      <c r="R21" s="216">
        <f t="shared" si="0"/>
      </c>
      <c r="S21" s="216">
        <f t="shared" si="1"/>
      </c>
      <c r="T21" s="216">
        <f t="shared" si="2"/>
      </c>
      <c r="U21" s="216">
        <f t="shared" si="3"/>
      </c>
      <c r="V21" s="216">
        <f t="shared" si="4"/>
      </c>
      <c r="W21" s="216">
        <f t="shared" si="5"/>
      </c>
      <c r="X21" s="216">
        <f t="shared" si="6"/>
      </c>
      <c r="Y21" s="216">
        <f t="shared" si="7"/>
      </c>
      <c r="Z21" s="216">
        <f>IF(INDEX($B$3:$O$102,19,9)="A",1,"")</f>
      </c>
      <c r="AA21" s="216">
        <f>IF(INDEX($B$3:$O$102,19,9)="B",1,"")</f>
      </c>
    </row>
    <row r="22" spans="1:27" s="224" customFormat="1" ht="12.75">
      <c r="A22" s="216">
        <v>20</v>
      </c>
      <c r="B22" s="217"/>
      <c r="C22" s="218"/>
      <c r="D22" s="219"/>
      <c r="E22" s="220"/>
      <c r="F22" s="221"/>
      <c r="G22" s="218"/>
      <c r="H22" s="218"/>
      <c r="I22" s="218"/>
      <c r="J22" s="222"/>
      <c r="K22" s="219"/>
      <c r="L22" s="219"/>
      <c r="M22" s="219"/>
      <c r="N22" s="219"/>
      <c r="O22" s="219"/>
      <c r="P22" s="226"/>
      <c r="Q22" s="230">
        <f>CONCATENATE(INDEX($B$3:$P$102,20,3),INDEX($B$3:$P$102,20,4))</f>
      </c>
      <c r="R22" s="216">
        <f t="shared" si="0"/>
      </c>
      <c r="S22" s="216">
        <f t="shared" si="1"/>
      </c>
      <c r="T22" s="216">
        <f t="shared" si="2"/>
      </c>
      <c r="U22" s="216">
        <f t="shared" si="3"/>
      </c>
      <c r="V22" s="216">
        <f t="shared" si="4"/>
      </c>
      <c r="W22" s="216">
        <f t="shared" si="5"/>
      </c>
      <c r="X22" s="216">
        <f t="shared" si="6"/>
      </c>
      <c r="Y22" s="216">
        <f t="shared" si="7"/>
      </c>
      <c r="Z22" s="216">
        <f>IF(INDEX($B$3:$O$102,20,9)="A",1,"")</f>
      </c>
      <c r="AA22" s="216">
        <f>IF(INDEX($B$3:$O$102,20,9)="B",1,"")</f>
      </c>
    </row>
    <row r="23" spans="1:27" s="224" customFormat="1" ht="12.75">
      <c r="A23" s="216">
        <v>21</v>
      </c>
      <c r="B23" s="217"/>
      <c r="C23" s="218"/>
      <c r="D23" s="219"/>
      <c r="E23" s="220"/>
      <c r="F23" s="221"/>
      <c r="G23" s="218"/>
      <c r="H23" s="218"/>
      <c r="I23" s="218"/>
      <c r="J23" s="222"/>
      <c r="K23" s="219"/>
      <c r="L23" s="219"/>
      <c r="M23" s="219"/>
      <c r="N23" s="219"/>
      <c r="O23" s="219"/>
      <c r="P23" s="226"/>
      <c r="Q23" s="230">
        <f>CONCATENATE(INDEX($B$3:$P$102,21,3),INDEX($B$3:$P$102,21,4))</f>
      </c>
      <c r="R23" s="216">
        <f t="shared" si="0"/>
      </c>
      <c r="S23" s="216">
        <f t="shared" si="1"/>
      </c>
      <c r="T23" s="216">
        <f t="shared" si="2"/>
      </c>
      <c r="U23" s="216">
        <f t="shared" si="3"/>
      </c>
      <c r="V23" s="216">
        <f t="shared" si="4"/>
      </c>
      <c r="W23" s="216">
        <f t="shared" si="5"/>
      </c>
      <c r="X23" s="216">
        <f t="shared" si="6"/>
      </c>
      <c r="Y23" s="216">
        <f t="shared" si="7"/>
      </c>
      <c r="Z23" s="216">
        <f>IF(INDEX($B$3:$O$102,21,9)="A",1,"")</f>
      </c>
      <c r="AA23" s="216">
        <f>IF(INDEX($B$3:$O$102,21,9)="B",1,"")</f>
      </c>
    </row>
    <row r="24" spans="1:27" s="224" customFormat="1" ht="12.75">
      <c r="A24" s="216">
        <v>22</v>
      </c>
      <c r="B24" s="217"/>
      <c r="C24" s="218"/>
      <c r="D24" s="219"/>
      <c r="E24" s="220"/>
      <c r="F24" s="221"/>
      <c r="G24" s="218"/>
      <c r="H24" s="218"/>
      <c r="I24" s="218"/>
      <c r="J24" s="222"/>
      <c r="K24" s="219"/>
      <c r="L24" s="219"/>
      <c r="M24" s="219"/>
      <c r="N24" s="219"/>
      <c r="O24" s="219"/>
      <c r="P24" s="226"/>
      <c r="Q24" s="230">
        <f>CONCATENATE(INDEX($B$3:$P$102,22,3),INDEX($B$3:$P$102,22,4))</f>
      </c>
      <c r="R24" s="216">
        <f t="shared" si="0"/>
      </c>
      <c r="S24" s="216">
        <f t="shared" si="1"/>
      </c>
      <c r="T24" s="216">
        <f t="shared" si="2"/>
      </c>
      <c r="U24" s="216">
        <f t="shared" si="3"/>
      </c>
      <c r="V24" s="216">
        <f t="shared" si="4"/>
      </c>
      <c r="W24" s="216">
        <f t="shared" si="5"/>
      </c>
      <c r="X24" s="216">
        <f t="shared" si="6"/>
      </c>
      <c r="Y24" s="216">
        <f t="shared" si="7"/>
      </c>
      <c r="Z24" s="216">
        <f>IF(INDEX($B$3:$O$102,22,9)="A",1,"")</f>
      </c>
      <c r="AA24" s="216">
        <f>IF(INDEX($B$3:$O$102,22,9)="B",1,"")</f>
      </c>
    </row>
    <row r="25" spans="1:27" s="224" customFormat="1" ht="12.75">
      <c r="A25" s="216">
        <v>23</v>
      </c>
      <c r="B25" s="217"/>
      <c r="C25" s="218"/>
      <c r="D25" s="219"/>
      <c r="E25" s="220"/>
      <c r="F25" s="221"/>
      <c r="G25" s="218"/>
      <c r="H25" s="218"/>
      <c r="I25" s="218"/>
      <c r="J25" s="222"/>
      <c r="K25" s="219"/>
      <c r="L25" s="219"/>
      <c r="M25" s="219"/>
      <c r="N25" s="219"/>
      <c r="O25" s="219"/>
      <c r="P25" s="226"/>
      <c r="Q25" s="230">
        <f>CONCATENATE(INDEX($B$3:$P$102,23,3),INDEX($B$3:$P$102,23,4))</f>
      </c>
      <c r="R25" s="216">
        <f t="shared" si="0"/>
      </c>
      <c r="S25" s="216">
        <f t="shared" si="1"/>
      </c>
      <c r="T25" s="216">
        <f t="shared" si="2"/>
      </c>
      <c r="U25" s="216">
        <f t="shared" si="3"/>
      </c>
      <c r="V25" s="216">
        <f t="shared" si="4"/>
      </c>
      <c r="W25" s="216">
        <f t="shared" si="5"/>
      </c>
      <c r="X25" s="216">
        <f t="shared" si="6"/>
      </c>
      <c r="Y25" s="216">
        <f t="shared" si="7"/>
      </c>
      <c r="Z25" s="216">
        <f>IF(INDEX($B$3:$O$102,23,9)="A",1,"")</f>
      </c>
      <c r="AA25" s="216">
        <f>IF(INDEX($B$3:$O$102,23,9)="B",1,"")</f>
      </c>
    </row>
    <row r="26" spans="1:27" s="224" customFormat="1" ht="12.75">
      <c r="A26" s="216">
        <v>24</v>
      </c>
      <c r="B26" s="217"/>
      <c r="C26" s="218"/>
      <c r="D26" s="219"/>
      <c r="E26" s="220"/>
      <c r="F26" s="221"/>
      <c r="G26" s="218"/>
      <c r="H26" s="218"/>
      <c r="I26" s="218"/>
      <c r="J26" s="222"/>
      <c r="K26" s="219"/>
      <c r="L26" s="219"/>
      <c r="M26" s="219"/>
      <c r="N26" s="219"/>
      <c r="O26" s="219"/>
      <c r="P26" s="226"/>
      <c r="Q26" s="230">
        <f>CONCATENATE(INDEX($B$3:$P$102,24,3),INDEX($B$3:$P$102,24,4))</f>
      </c>
      <c r="R26" s="216">
        <f t="shared" si="0"/>
      </c>
      <c r="S26" s="216">
        <f t="shared" si="1"/>
      </c>
      <c r="T26" s="216">
        <f t="shared" si="2"/>
      </c>
      <c r="U26" s="216">
        <f t="shared" si="3"/>
      </c>
      <c r="V26" s="216">
        <f t="shared" si="4"/>
      </c>
      <c r="W26" s="216">
        <f t="shared" si="5"/>
      </c>
      <c r="X26" s="216">
        <f t="shared" si="6"/>
      </c>
      <c r="Y26" s="216">
        <f t="shared" si="7"/>
      </c>
      <c r="Z26" s="216">
        <f>IF(INDEX($B$3:$O$102,24,9)="A",1,"")</f>
      </c>
      <c r="AA26" s="216">
        <f>IF(INDEX($B$3:$O$102,24,9)="B",1,"")</f>
      </c>
    </row>
    <row r="27" spans="1:27" s="224" customFormat="1" ht="12.75">
      <c r="A27" s="216">
        <v>25</v>
      </c>
      <c r="B27" s="217"/>
      <c r="C27" s="218"/>
      <c r="D27" s="219"/>
      <c r="E27" s="220"/>
      <c r="F27" s="221"/>
      <c r="G27" s="218"/>
      <c r="H27" s="218"/>
      <c r="I27" s="218"/>
      <c r="J27" s="222"/>
      <c r="K27" s="219"/>
      <c r="L27" s="219"/>
      <c r="M27" s="219"/>
      <c r="N27" s="219"/>
      <c r="O27" s="219"/>
      <c r="P27" s="226"/>
      <c r="Q27" s="230">
        <f>CONCATENATE(INDEX($B$3:$P$102,25,3),INDEX($B$3:$P$102,25,4))</f>
      </c>
      <c r="R27" s="216">
        <f t="shared" si="0"/>
      </c>
      <c r="S27" s="216">
        <f t="shared" si="1"/>
      </c>
      <c r="T27" s="216">
        <f t="shared" si="2"/>
      </c>
      <c r="U27" s="216">
        <f t="shared" si="3"/>
      </c>
      <c r="V27" s="216">
        <f t="shared" si="4"/>
      </c>
      <c r="W27" s="216">
        <f t="shared" si="5"/>
      </c>
      <c r="X27" s="216">
        <f t="shared" si="6"/>
      </c>
      <c r="Y27" s="216">
        <f t="shared" si="7"/>
      </c>
      <c r="Z27" s="216">
        <f>IF(INDEX($B$3:$O$102,25,9)="A",1,"")</f>
      </c>
      <c r="AA27" s="216">
        <f>IF(INDEX($B$3:$O$102,25,9)="B",1,"")</f>
      </c>
    </row>
    <row r="28" spans="1:27" s="224" customFormat="1" ht="12.75">
      <c r="A28" s="216">
        <v>26</v>
      </c>
      <c r="B28" s="217"/>
      <c r="C28" s="218"/>
      <c r="D28" s="219"/>
      <c r="E28" s="220"/>
      <c r="F28" s="221"/>
      <c r="G28" s="218"/>
      <c r="H28" s="218"/>
      <c r="I28" s="218"/>
      <c r="J28" s="222"/>
      <c r="K28" s="219"/>
      <c r="L28" s="219"/>
      <c r="M28" s="219"/>
      <c r="N28" s="219"/>
      <c r="O28" s="219"/>
      <c r="P28" s="226"/>
      <c r="Q28" s="230">
        <f>CONCATENATE(INDEX($B$3:$P$102,26,3),INDEX($B$3:$P$102,26,4))</f>
      </c>
      <c r="R28" s="216">
        <f t="shared" si="0"/>
      </c>
      <c r="S28" s="216">
        <f t="shared" si="1"/>
      </c>
      <c r="T28" s="216">
        <f t="shared" si="2"/>
      </c>
      <c r="U28" s="216">
        <f t="shared" si="3"/>
      </c>
      <c r="V28" s="216">
        <f t="shared" si="4"/>
      </c>
      <c r="W28" s="216">
        <f t="shared" si="5"/>
      </c>
      <c r="X28" s="216">
        <f t="shared" si="6"/>
      </c>
      <c r="Y28" s="216">
        <f t="shared" si="7"/>
      </c>
      <c r="Z28" s="216">
        <f>IF(INDEX($B$3:$O$102,26,9)="A",1,"")</f>
      </c>
      <c r="AA28" s="216">
        <f>IF(INDEX($B$3:$O$102,26,9)="B",1,"")</f>
      </c>
    </row>
    <row r="29" spans="1:27" s="224" customFormat="1" ht="12.75">
      <c r="A29" s="216">
        <v>27</v>
      </c>
      <c r="B29" s="217"/>
      <c r="C29" s="218"/>
      <c r="D29" s="219"/>
      <c r="E29" s="220"/>
      <c r="F29" s="221"/>
      <c r="G29" s="218"/>
      <c r="H29" s="218"/>
      <c r="I29" s="218"/>
      <c r="J29" s="222"/>
      <c r="K29" s="219"/>
      <c r="L29" s="219"/>
      <c r="M29" s="219"/>
      <c r="N29" s="219"/>
      <c r="O29" s="219"/>
      <c r="P29" s="226"/>
      <c r="Q29" s="230">
        <f>CONCATENATE(INDEX($B$3:$P$102,27,3),INDEX($B$3:$P$102,27,4))</f>
      </c>
      <c r="R29" s="216">
        <f t="shared" si="0"/>
      </c>
      <c r="S29" s="216">
        <f t="shared" si="1"/>
      </c>
      <c r="T29" s="216">
        <f t="shared" si="2"/>
      </c>
      <c r="U29" s="216">
        <f t="shared" si="3"/>
      </c>
      <c r="V29" s="216">
        <f t="shared" si="4"/>
      </c>
      <c r="W29" s="216">
        <f t="shared" si="5"/>
      </c>
      <c r="X29" s="216">
        <f t="shared" si="6"/>
      </c>
      <c r="Y29" s="216">
        <f t="shared" si="7"/>
      </c>
      <c r="Z29" s="216">
        <f>IF(INDEX($B$3:$O$102,27,9)="A",1,"")</f>
      </c>
      <c r="AA29" s="216">
        <f>IF(INDEX($B$3:$O$102,27,9)="B",1,"")</f>
      </c>
    </row>
    <row r="30" spans="1:27" s="224" customFormat="1" ht="12.75">
      <c r="A30" s="216">
        <v>28</v>
      </c>
      <c r="B30" s="217"/>
      <c r="C30" s="218"/>
      <c r="D30" s="219"/>
      <c r="E30" s="220"/>
      <c r="F30" s="221"/>
      <c r="G30" s="218"/>
      <c r="H30" s="218"/>
      <c r="I30" s="218"/>
      <c r="J30" s="222"/>
      <c r="K30" s="219"/>
      <c r="L30" s="219"/>
      <c r="M30" s="219"/>
      <c r="N30" s="219"/>
      <c r="O30" s="219"/>
      <c r="P30" s="226"/>
      <c r="Q30" s="230">
        <f>CONCATENATE(INDEX($B$3:$P$102,28,3),INDEX($B$3:$P$102,28,4))</f>
      </c>
      <c r="R30" s="216">
        <f t="shared" si="0"/>
      </c>
      <c r="S30" s="216">
        <f t="shared" si="1"/>
      </c>
      <c r="T30" s="216">
        <f t="shared" si="2"/>
      </c>
      <c r="U30" s="216">
        <f t="shared" si="3"/>
      </c>
      <c r="V30" s="216">
        <f t="shared" si="4"/>
      </c>
      <c r="W30" s="216">
        <f t="shared" si="5"/>
      </c>
      <c r="X30" s="216">
        <f t="shared" si="6"/>
      </c>
      <c r="Y30" s="216">
        <f t="shared" si="7"/>
      </c>
      <c r="Z30" s="216">
        <f>IF(INDEX($B$3:$O$102,28,9)="A",1,"")</f>
      </c>
      <c r="AA30" s="216">
        <f>IF(INDEX($B$3:$O$102,28,9)="B",1,"")</f>
      </c>
    </row>
    <row r="31" spans="1:27" s="224" customFormat="1" ht="12.75">
      <c r="A31" s="216">
        <v>29</v>
      </c>
      <c r="B31" s="217"/>
      <c r="C31" s="218"/>
      <c r="D31" s="219"/>
      <c r="E31" s="220"/>
      <c r="F31" s="221"/>
      <c r="G31" s="218"/>
      <c r="H31" s="218"/>
      <c r="I31" s="218"/>
      <c r="J31" s="222"/>
      <c r="K31" s="219"/>
      <c r="L31" s="219"/>
      <c r="M31" s="219"/>
      <c r="N31" s="219"/>
      <c r="O31" s="219"/>
      <c r="P31" s="226"/>
      <c r="Q31" s="230">
        <f>CONCATENATE(INDEX($B$3:$P$102,29,3),INDEX($B$3:$P$102,29,4))</f>
      </c>
      <c r="R31" s="216">
        <f t="shared" si="0"/>
      </c>
      <c r="S31" s="216">
        <f t="shared" si="1"/>
      </c>
      <c r="T31" s="216">
        <f t="shared" si="2"/>
      </c>
      <c r="U31" s="216">
        <f t="shared" si="3"/>
      </c>
      <c r="V31" s="216">
        <f t="shared" si="4"/>
      </c>
      <c r="W31" s="216">
        <f t="shared" si="5"/>
      </c>
      <c r="X31" s="216">
        <f t="shared" si="6"/>
      </c>
      <c r="Y31" s="216">
        <f t="shared" si="7"/>
      </c>
      <c r="Z31" s="216">
        <f>IF(INDEX($B$3:$O$102,29,9)="A",1,"")</f>
      </c>
      <c r="AA31" s="216">
        <f>IF(INDEX($B$3:$O$102,29,9)="B",1,"")</f>
      </c>
    </row>
    <row r="32" spans="1:27" s="224" customFormat="1" ht="12.75">
      <c r="A32" s="216">
        <v>30</v>
      </c>
      <c r="B32" s="217"/>
      <c r="C32" s="218"/>
      <c r="D32" s="219"/>
      <c r="E32" s="220"/>
      <c r="F32" s="221"/>
      <c r="G32" s="218"/>
      <c r="H32" s="218"/>
      <c r="I32" s="218"/>
      <c r="J32" s="222"/>
      <c r="K32" s="219"/>
      <c r="L32" s="219"/>
      <c r="M32" s="219"/>
      <c r="N32" s="219"/>
      <c r="O32" s="219"/>
      <c r="P32" s="226"/>
      <c r="Q32" s="230">
        <f>CONCATENATE(INDEX($B$3:$P$102,30,3),INDEX($B$3:$P$102,30,4))</f>
      </c>
      <c r="R32" s="216">
        <f t="shared" si="0"/>
      </c>
      <c r="S32" s="216">
        <f t="shared" si="1"/>
      </c>
      <c r="T32" s="216">
        <f t="shared" si="2"/>
      </c>
      <c r="U32" s="216">
        <f t="shared" si="3"/>
      </c>
      <c r="V32" s="216">
        <f t="shared" si="4"/>
      </c>
      <c r="W32" s="216">
        <f t="shared" si="5"/>
      </c>
      <c r="X32" s="216">
        <f t="shared" si="6"/>
      </c>
      <c r="Y32" s="216">
        <f t="shared" si="7"/>
      </c>
      <c r="Z32" s="216">
        <f>IF(INDEX($B$3:$O$102,30,9)="A",1,"")</f>
      </c>
      <c r="AA32" s="216">
        <f>IF(INDEX($B$3:$O$102,30,9)="B",1,"")</f>
      </c>
    </row>
    <row r="33" spans="1:27" s="224" customFormat="1" ht="12.75">
      <c r="A33" s="216">
        <v>31</v>
      </c>
      <c r="B33" s="217"/>
      <c r="C33" s="218"/>
      <c r="D33" s="219"/>
      <c r="E33" s="220"/>
      <c r="F33" s="221"/>
      <c r="G33" s="218"/>
      <c r="H33" s="218"/>
      <c r="I33" s="218"/>
      <c r="J33" s="222"/>
      <c r="K33" s="219"/>
      <c r="L33" s="219"/>
      <c r="M33" s="219"/>
      <c r="N33" s="219"/>
      <c r="O33" s="219"/>
      <c r="P33" s="226"/>
      <c r="Q33" s="230">
        <f>CONCATENATE(INDEX($B$3:$P$102,31,3),INDEX($B$3:$P$102,31,4))</f>
      </c>
      <c r="R33" s="216">
        <f t="shared" si="0"/>
      </c>
      <c r="S33" s="216">
        <f t="shared" si="1"/>
      </c>
      <c r="T33" s="216">
        <f t="shared" si="2"/>
      </c>
      <c r="U33" s="216">
        <f t="shared" si="3"/>
      </c>
      <c r="V33" s="216">
        <f t="shared" si="4"/>
      </c>
      <c r="W33" s="216">
        <f t="shared" si="5"/>
      </c>
      <c r="X33" s="216">
        <f t="shared" si="6"/>
      </c>
      <c r="Y33" s="216">
        <f t="shared" si="7"/>
      </c>
      <c r="Z33" s="216">
        <f>IF(INDEX($B$3:$O$102,31,9)="A",1,"")</f>
      </c>
      <c r="AA33" s="216">
        <f>IF(INDEX($B$3:$O$102,31,9)="B",1,"")</f>
      </c>
    </row>
    <row r="34" spans="1:27" s="224" customFormat="1" ht="12.75">
      <c r="A34" s="216">
        <v>32</v>
      </c>
      <c r="B34" s="217"/>
      <c r="C34" s="218"/>
      <c r="D34" s="219"/>
      <c r="E34" s="220"/>
      <c r="F34" s="221"/>
      <c r="G34" s="218"/>
      <c r="H34" s="218"/>
      <c r="I34" s="218"/>
      <c r="J34" s="222"/>
      <c r="K34" s="219"/>
      <c r="L34" s="219"/>
      <c r="M34" s="219"/>
      <c r="N34" s="219"/>
      <c r="O34" s="219"/>
      <c r="P34" s="226"/>
      <c r="Q34" s="230">
        <f>CONCATENATE(INDEX($B$3:$P$102,32,3),INDEX($B$3:$P$102,32,4))</f>
      </c>
      <c r="R34" s="216">
        <f t="shared" si="0"/>
      </c>
      <c r="S34" s="216">
        <f t="shared" si="1"/>
      </c>
      <c r="T34" s="216">
        <f t="shared" si="2"/>
      </c>
      <c r="U34" s="216">
        <f t="shared" si="3"/>
      </c>
      <c r="V34" s="216">
        <f t="shared" si="4"/>
      </c>
      <c r="W34" s="216">
        <f t="shared" si="5"/>
      </c>
      <c r="X34" s="216">
        <f t="shared" si="6"/>
      </c>
      <c r="Y34" s="216">
        <f t="shared" si="7"/>
      </c>
      <c r="Z34" s="216">
        <f>IF(INDEX($B$3:$O$102,32,9)="A",1,"")</f>
      </c>
      <c r="AA34" s="216">
        <f>IF(INDEX($B$3:$O$102,32,9)="B",1,"")</f>
      </c>
    </row>
    <row r="35" spans="1:27" s="224" customFormat="1" ht="12.75">
      <c r="A35" s="216">
        <v>33</v>
      </c>
      <c r="B35" s="217"/>
      <c r="C35" s="218"/>
      <c r="D35" s="219"/>
      <c r="E35" s="220"/>
      <c r="F35" s="221"/>
      <c r="G35" s="218"/>
      <c r="H35" s="218"/>
      <c r="I35" s="218"/>
      <c r="J35" s="222"/>
      <c r="K35" s="219"/>
      <c r="L35" s="219"/>
      <c r="M35" s="219"/>
      <c r="N35" s="219"/>
      <c r="O35" s="219"/>
      <c r="P35" s="226"/>
      <c r="Q35" s="230">
        <f>CONCATENATE(INDEX($B$3:$P$102,33,3),INDEX($B$3:$P$102,33,4))</f>
      </c>
      <c r="R35" s="216">
        <f t="shared" si="0"/>
      </c>
      <c r="S35" s="216">
        <f t="shared" si="1"/>
      </c>
      <c r="T35" s="216">
        <f t="shared" si="2"/>
      </c>
      <c r="U35" s="216">
        <f t="shared" si="3"/>
      </c>
      <c r="V35" s="216">
        <f t="shared" si="4"/>
      </c>
      <c r="W35" s="216">
        <f t="shared" si="5"/>
      </c>
      <c r="X35" s="216">
        <f t="shared" si="6"/>
      </c>
      <c r="Y35" s="216">
        <f t="shared" si="7"/>
      </c>
      <c r="Z35" s="216">
        <f>IF(INDEX($B$3:$O$102,33,9)="A",1,"")</f>
      </c>
      <c r="AA35" s="216">
        <f>IF(INDEX($B$3:$O$102,33,9)="B",1,"")</f>
      </c>
    </row>
    <row r="36" spans="1:27" s="224" customFormat="1" ht="12.75">
      <c r="A36" s="216">
        <v>34</v>
      </c>
      <c r="B36" s="217"/>
      <c r="C36" s="218"/>
      <c r="D36" s="219"/>
      <c r="E36" s="220"/>
      <c r="F36" s="221"/>
      <c r="G36" s="218"/>
      <c r="H36" s="218"/>
      <c r="I36" s="218"/>
      <c r="J36" s="222"/>
      <c r="K36" s="219"/>
      <c r="L36" s="219"/>
      <c r="M36" s="219"/>
      <c r="N36" s="219"/>
      <c r="O36" s="219"/>
      <c r="P36" s="226"/>
      <c r="Q36" s="230">
        <f>CONCATENATE(INDEX($B$3:$P$102,34,3),INDEX($B$3:$P$102,34,4))</f>
      </c>
      <c r="R36" s="216">
        <f t="shared" si="0"/>
      </c>
      <c r="S36" s="216">
        <f t="shared" si="1"/>
      </c>
      <c r="T36" s="216">
        <f t="shared" si="2"/>
      </c>
      <c r="U36" s="216">
        <f t="shared" si="3"/>
      </c>
      <c r="V36" s="216">
        <f t="shared" si="4"/>
      </c>
      <c r="W36" s="216">
        <f t="shared" si="5"/>
      </c>
      <c r="X36" s="216">
        <f t="shared" si="6"/>
      </c>
      <c r="Y36" s="216">
        <f t="shared" si="7"/>
      </c>
      <c r="Z36" s="216">
        <f>IF(INDEX($B$3:$O$102,34,9)="A",1,"")</f>
      </c>
      <c r="AA36" s="216">
        <f>IF(INDEX($B$3:$O$102,34,9)="B",1,"")</f>
      </c>
    </row>
    <row r="37" spans="1:27" s="224" customFormat="1" ht="12.75">
      <c r="A37" s="216">
        <v>35</v>
      </c>
      <c r="B37" s="217"/>
      <c r="C37" s="218"/>
      <c r="D37" s="219"/>
      <c r="E37" s="220"/>
      <c r="F37" s="221"/>
      <c r="G37" s="218"/>
      <c r="H37" s="218"/>
      <c r="I37" s="218"/>
      <c r="J37" s="222"/>
      <c r="K37" s="219"/>
      <c r="L37" s="219"/>
      <c r="M37" s="219"/>
      <c r="N37" s="219"/>
      <c r="O37" s="219"/>
      <c r="P37" s="226"/>
      <c r="Q37" s="230">
        <f>CONCATENATE(INDEX($B$3:$P$102,35,3),INDEX($B$3:$P$102,35,4))</f>
      </c>
      <c r="R37" s="216">
        <f t="shared" si="0"/>
      </c>
      <c r="S37" s="216">
        <f t="shared" si="1"/>
      </c>
      <c r="T37" s="216">
        <f t="shared" si="2"/>
      </c>
      <c r="U37" s="216">
        <f t="shared" si="3"/>
      </c>
      <c r="V37" s="216">
        <f t="shared" si="4"/>
      </c>
      <c r="W37" s="216">
        <f t="shared" si="5"/>
      </c>
      <c r="X37" s="216">
        <f t="shared" si="6"/>
      </c>
      <c r="Y37" s="216">
        <f t="shared" si="7"/>
      </c>
      <c r="Z37" s="216">
        <f>IF(INDEX($B$3:$O$102,35,9)="A",1,"")</f>
      </c>
      <c r="AA37" s="216">
        <f>IF(INDEX($B$3:$O$102,35,9)="B",1,"")</f>
      </c>
    </row>
    <row r="38" spans="1:27" s="224" customFormat="1" ht="12.75">
      <c r="A38" s="216">
        <v>36</v>
      </c>
      <c r="B38" s="217"/>
      <c r="C38" s="218"/>
      <c r="D38" s="219"/>
      <c r="E38" s="220"/>
      <c r="F38" s="221"/>
      <c r="G38" s="218"/>
      <c r="H38" s="218"/>
      <c r="I38" s="218"/>
      <c r="J38" s="222"/>
      <c r="K38" s="219"/>
      <c r="L38" s="219"/>
      <c r="M38" s="219"/>
      <c r="N38" s="219"/>
      <c r="O38" s="219"/>
      <c r="P38" s="226"/>
      <c r="Q38" s="230">
        <f>CONCATENATE(INDEX($B$3:$P$102,36,3),INDEX($B$3:$P$102,36,4))</f>
      </c>
      <c r="R38" s="216">
        <f t="shared" si="0"/>
      </c>
      <c r="S38" s="216">
        <f t="shared" si="1"/>
      </c>
      <c r="T38" s="216">
        <f t="shared" si="2"/>
      </c>
      <c r="U38" s="216">
        <f t="shared" si="3"/>
      </c>
      <c r="V38" s="216">
        <f t="shared" si="4"/>
      </c>
      <c r="W38" s="216">
        <f t="shared" si="5"/>
      </c>
      <c r="X38" s="216">
        <f t="shared" si="6"/>
      </c>
      <c r="Y38" s="216">
        <f t="shared" si="7"/>
      </c>
      <c r="Z38" s="216">
        <f>IF(INDEX($B$3:$O$102,36,9)="A",1,"")</f>
      </c>
      <c r="AA38" s="216">
        <f>IF(INDEX($B$3:$O$102,36,9)="B",1,"")</f>
      </c>
    </row>
    <row r="39" spans="1:27" s="224" customFormat="1" ht="12.75">
      <c r="A39" s="216">
        <v>37</v>
      </c>
      <c r="B39" s="217"/>
      <c r="C39" s="218"/>
      <c r="D39" s="219"/>
      <c r="E39" s="220"/>
      <c r="F39" s="221"/>
      <c r="G39" s="218"/>
      <c r="H39" s="218"/>
      <c r="I39" s="218"/>
      <c r="J39" s="222"/>
      <c r="K39" s="219"/>
      <c r="L39" s="219"/>
      <c r="M39" s="219"/>
      <c r="N39" s="219"/>
      <c r="O39" s="219"/>
      <c r="P39" s="226"/>
      <c r="Q39" s="230">
        <f>CONCATENATE(INDEX($B$3:$P$102,37,3),INDEX($B$3:$P$102,37,4))</f>
      </c>
      <c r="R39" s="216">
        <f t="shared" si="0"/>
      </c>
      <c r="S39" s="216">
        <f t="shared" si="1"/>
      </c>
      <c r="T39" s="216">
        <f t="shared" si="2"/>
      </c>
      <c r="U39" s="216">
        <f t="shared" si="3"/>
      </c>
      <c r="V39" s="216">
        <f t="shared" si="4"/>
      </c>
      <c r="W39" s="216">
        <f t="shared" si="5"/>
      </c>
      <c r="X39" s="216">
        <f t="shared" si="6"/>
      </c>
      <c r="Y39" s="216">
        <f t="shared" si="7"/>
      </c>
      <c r="Z39" s="216">
        <f>IF(INDEX($B$3:$O$102,37,9)="A",1,"")</f>
      </c>
      <c r="AA39" s="216">
        <f>IF(INDEX($B$3:$O$102,37,9)="B",1,"")</f>
      </c>
    </row>
    <row r="40" spans="1:27" s="224" customFormat="1" ht="12.75">
      <c r="A40" s="216">
        <v>38</v>
      </c>
      <c r="B40" s="217"/>
      <c r="C40" s="218"/>
      <c r="D40" s="219"/>
      <c r="E40" s="220"/>
      <c r="F40" s="221"/>
      <c r="G40" s="218"/>
      <c r="H40" s="218"/>
      <c r="I40" s="218"/>
      <c r="J40" s="222"/>
      <c r="K40" s="219"/>
      <c r="L40" s="219"/>
      <c r="M40" s="219"/>
      <c r="N40" s="219"/>
      <c r="O40" s="219"/>
      <c r="P40" s="226"/>
      <c r="Q40" s="230">
        <f>CONCATENATE(INDEX($B$3:$P$102,38,3),INDEX($B$3:$P$102,38,4))</f>
      </c>
      <c r="R40" s="216">
        <f t="shared" si="0"/>
      </c>
      <c r="S40" s="216">
        <f t="shared" si="1"/>
      </c>
      <c r="T40" s="216">
        <f t="shared" si="2"/>
      </c>
      <c r="U40" s="216">
        <f t="shared" si="3"/>
      </c>
      <c r="V40" s="216">
        <f t="shared" si="4"/>
      </c>
      <c r="W40" s="216">
        <f t="shared" si="5"/>
      </c>
      <c r="X40" s="216">
        <f t="shared" si="6"/>
      </c>
      <c r="Y40" s="216">
        <f t="shared" si="7"/>
      </c>
      <c r="Z40" s="216">
        <f>IF(INDEX($B$3:$O$102,38,9)="A",1,"")</f>
      </c>
      <c r="AA40" s="216">
        <f>IF(INDEX($B$3:$O$102,38,9)="B",1,"")</f>
      </c>
    </row>
    <row r="41" spans="1:27" s="224" customFormat="1" ht="12.75">
      <c r="A41" s="216">
        <v>39</v>
      </c>
      <c r="B41" s="217"/>
      <c r="C41" s="218"/>
      <c r="D41" s="219"/>
      <c r="E41" s="220"/>
      <c r="F41" s="221"/>
      <c r="G41" s="218"/>
      <c r="H41" s="218"/>
      <c r="I41" s="218"/>
      <c r="J41" s="222"/>
      <c r="K41" s="219"/>
      <c r="L41" s="219"/>
      <c r="M41" s="219"/>
      <c r="N41" s="219"/>
      <c r="O41" s="219"/>
      <c r="P41" s="226"/>
      <c r="Q41" s="230">
        <f>CONCATENATE(INDEX($B$3:$P$102,39,3),INDEX($B$3:$P$102,39,4))</f>
      </c>
      <c r="R41" s="216">
        <f t="shared" si="0"/>
      </c>
      <c r="S41" s="216">
        <f t="shared" si="1"/>
      </c>
      <c r="T41" s="216">
        <f t="shared" si="2"/>
      </c>
      <c r="U41" s="216">
        <f t="shared" si="3"/>
      </c>
      <c r="V41" s="216">
        <f t="shared" si="4"/>
      </c>
      <c r="W41" s="216">
        <f t="shared" si="5"/>
      </c>
      <c r="X41" s="216">
        <f t="shared" si="6"/>
      </c>
      <c r="Y41" s="216">
        <f t="shared" si="7"/>
      </c>
      <c r="Z41" s="216">
        <f>IF(INDEX($B$3:$O$102,39,9)="A",1,"")</f>
      </c>
      <c r="AA41" s="216">
        <f>IF(INDEX($B$3:$O$102,39,9)="B",1,"")</f>
      </c>
    </row>
    <row r="42" spans="1:27" s="224" customFormat="1" ht="12.75">
      <c r="A42" s="216">
        <v>40</v>
      </c>
      <c r="B42" s="217"/>
      <c r="C42" s="218"/>
      <c r="D42" s="219"/>
      <c r="E42" s="220"/>
      <c r="F42" s="221"/>
      <c r="G42" s="218"/>
      <c r="H42" s="218"/>
      <c r="I42" s="218"/>
      <c r="J42" s="222"/>
      <c r="K42" s="219"/>
      <c r="L42" s="219"/>
      <c r="M42" s="219"/>
      <c r="N42" s="219"/>
      <c r="O42" s="219"/>
      <c r="P42" s="226"/>
      <c r="Q42" s="230">
        <f>CONCATENATE(INDEX($B$3:$P$102,40,3),INDEX($B$3:$P$102,40,4))</f>
      </c>
      <c r="R42" s="216">
        <f t="shared" si="0"/>
      </c>
      <c r="S42" s="216">
        <f t="shared" si="1"/>
      </c>
      <c r="T42" s="216">
        <f t="shared" si="2"/>
      </c>
      <c r="U42" s="216">
        <f t="shared" si="3"/>
      </c>
      <c r="V42" s="216">
        <f t="shared" si="4"/>
      </c>
      <c r="W42" s="216">
        <f t="shared" si="5"/>
      </c>
      <c r="X42" s="216">
        <f t="shared" si="6"/>
      </c>
      <c r="Y42" s="216">
        <f t="shared" si="7"/>
      </c>
      <c r="Z42" s="216">
        <f>IF(INDEX($B$3:$O$102,40,9)="A",1,"")</f>
      </c>
      <c r="AA42" s="216">
        <f>IF(INDEX($B$3:$O$102,40,9)="B",1,"")</f>
      </c>
    </row>
    <row r="43" spans="1:27" s="224" customFormat="1" ht="12.75">
      <c r="A43" s="216">
        <v>41</v>
      </c>
      <c r="B43" s="217"/>
      <c r="C43" s="218"/>
      <c r="D43" s="219"/>
      <c r="E43" s="220"/>
      <c r="F43" s="221"/>
      <c r="G43" s="218"/>
      <c r="H43" s="218"/>
      <c r="I43" s="218"/>
      <c r="J43" s="222"/>
      <c r="K43" s="219"/>
      <c r="L43" s="219"/>
      <c r="M43" s="219"/>
      <c r="N43" s="219"/>
      <c r="O43" s="219"/>
      <c r="P43" s="226"/>
      <c r="Q43" s="230">
        <f>CONCATENATE(INDEX($B$3:$P$102,41,3),INDEX($B$3:$P$102,41,4))</f>
      </c>
      <c r="R43" s="216">
        <f t="shared" si="0"/>
      </c>
      <c r="S43" s="216">
        <f t="shared" si="1"/>
      </c>
      <c r="T43" s="216">
        <f t="shared" si="2"/>
      </c>
      <c r="U43" s="216">
        <f t="shared" si="3"/>
      </c>
      <c r="V43" s="216">
        <f t="shared" si="4"/>
      </c>
      <c r="W43" s="216">
        <f t="shared" si="5"/>
      </c>
      <c r="X43" s="216">
        <f t="shared" si="6"/>
      </c>
      <c r="Y43" s="216">
        <f t="shared" si="7"/>
      </c>
      <c r="Z43" s="216">
        <f>IF(INDEX($B$3:$O$102,41,9)="A",1,"")</f>
      </c>
      <c r="AA43" s="216">
        <f>IF(INDEX($B$3:$O$102,41,9)="B",1,"")</f>
      </c>
    </row>
    <row r="44" spans="1:27" s="224" customFormat="1" ht="12.75">
      <c r="A44" s="216">
        <v>42</v>
      </c>
      <c r="B44" s="217"/>
      <c r="C44" s="218"/>
      <c r="D44" s="219"/>
      <c r="E44" s="220"/>
      <c r="F44" s="221"/>
      <c r="G44" s="218"/>
      <c r="H44" s="218"/>
      <c r="I44" s="218"/>
      <c r="J44" s="222"/>
      <c r="K44" s="219"/>
      <c r="L44" s="219"/>
      <c r="M44" s="219"/>
      <c r="N44" s="219"/>
      <c r="O44" s="219"/>
      <c r="P44" s="226"/>
      <c r="Q44" s="230">
        <f>CONCATENATE(INDEX($B$3:$P$102,42,3),INDEX($B$3:$P$102,42,4))</f>
      </c>
      <c r="R44" s="216">
        <f t="shared" si="0"/>
      </c>
      <c r="S44" s="216">
        <f t="shared" si="1"/>
      </c>
      <c r="T44" s="216">
        <f t="shared" si="2"/>
      </c>
      <c r="U44" s="216">
        <f t="shared" si="3"/>
      </c>
      <c r="V44" s="216">
        <f t="shared" si="4"/>
      </c>
      <c r="W44" s="216">
        <f t="shared" si="5"/>
      </c>
      <c r="X44" s="216">
        <f t="shared" si="6"/>
      </c>
      <c r="Y44" s="216">
        <f t="shared" si="7"/>
      </c>
      <c r="Z44" s="216">
        <f>IF(INDEX($B$3:$O$102,42,9)="A",1,"")</f>
      </c>
      <c r="AA44" s="216">
        <f>IF(INDEX($B$3:$O$102,42,9)="B",1,"")</f>
      </c>
    </row>
    <row r="45" spans="1:27" s="224" customFormat="1" ht="12.75">
      <c r="A45" s="216">
        <v>43</v>
      </c>
      <c r="B45" s="217"/>
      <c r="C45" s="218"/>
      <c r="D45" s="219"/>
      <c r="E45" s="220"/>
      <c r="F45" s="221"/>
      <c r="G45" s="218"/>
      <c r="H45" s="218"/>
      <c r="I45" s="218"/>
      <c r="J45" s="222"/>
      <c r="K45" s="219"/>
      <c r="L45" s="219"/>
      <c r="M45" s="219"/>
      <c r="N45" s="219"/>
      <c r="O45" s="219"/>
      <c r="P45" s="226"/>
      <c r="Q45" s="230">
        <f>CONCATENATE(INDEX($B$3:$P$102,43,3),INDEX($B$3:$P$102,43,4))</f>
      </c>
      <c r="R45" s="216">
        <f t="shared" si="0"/>
      </c>
      <c r="S45" s="216">
        <f t="shared" si="1"/>
      </c>
      <c r="T45" s="216">
        <f t="shared" si="2"/>
      </c>
      <c r="U45" s="216">
        <f t="shared" si="3"/>
      </c>
      <c r="V45" s="216">
        <f t="shared" si="4"/>
      </c>
      <c r="W45" s="216">
        <f t="shared" si="5"/>
      </c>
      <c r="X45" s="216">
        <f t="shared" si="6"/>
      </c>
      <c r="Y45" s="216">
        <f t="shared" si="7"/>
      </c>
      <c r="Z45" s="216">
        <f>IF(INDEX($B$3:$O$102,43,9)="A",1,"")</f>
      </c>
      <c r="AA45" s="216">
        <f>IF(INDEX($B$3:$O$102,43,9)="B",1,"")</f>
      </c>
    </row>
    <row r="46" spans="1:27" s="224" customFormat="1" ht="12.75">
      <c r="A46" s="216">
        <v>44</v>
      </c>
      <c r="B46" s="217"/>
      <c r="C46" s="218"/>
      <c r="D46" s="219"/>
      <c r="E46" s="220"/>
      <c r="F46" s="221"/>
      <c r="G46" s="218"/>
      <c r="H46" s="218"/>
      <c r="I46" s="218"/>
      <c r="J46" s="222"/>
      <c r="K46" s="219"/>
      <c r="L46" s="219"/>
      <c r="M46" s="219"/>
      <c r="N46" s="219"/>
      <c r="O46" s="219"/>
      <c r="P46" s="226"/>
      <c r="Q46" s="230">
        <f>CONCATENATE(INDEX($B$3:$P$102,44,3),INDEX($B$3:$P$102,44,4))</f>
      </c>
      <c r="R46" s="216">
        <f t="shared" si="0"/>
      </c>
      <c r="S46" s="216">
        <f t="shared" si="1"/>
      </c>
      <c r="T46" s="216">
        <f t="shared" si="2"/>
      </c>
      <c r="U46" s="216">
        <f t="shared" si="3"/>
      </c>
      <c r="V46" s="216">
        <f t="shared" si="4"/>
      </c>
      <c r="W46" s="216">
        <f t="shared" si="5"/>
      </c>
      <c r="X46" s="216">
        <f t="shared" si="6"/>
      </c>
      <c r="Y46" s="216">
        <f t="shared" si="7"/>
      </c>
      <c r="Z46" s="216">
        <f>IF(INDEX($B$3:$O$102,44,9)="A",1,"")</f>
      </c>
      <c r="AA46" s="216">
        <f>IF(INDEX($B$3:$O$102,44,9)="B",1,"")</f>
      </c>
    </row>
    <row r="47" spans="1:27" s="224" customFormat="1" ht="12.75">
      <c r="A47" s="216">
        <v>45</v>
      </c>
      <c r="B47" s="217"/>
      <c r="C47" s="218"/>
      <c r="D47" s="219"/>
      <c r="E47" s="220"/>
      <c r="F47" s="221"/>
      <c r="G47" s="218"/>
      <c r="H47" s="218"/>
      <c r="I47" s="218"/>
      <c r="J47" s="222"/>
      <c r="K47" s="219"/>
      <c r="L47" s="219"/>
      <c r="M47" s="219"/>
      <c r="N47" s="219"/>
      <c r="O47" s="219"/>
      <c r="P47" s="226"/>
      <c r="Q47" s="230">
        <f>CONCATENATE(INDEX($B$3:$P$102,45,3),INDEX($B$3:$P$102,45,4))</f>
      </c>
      <c r="R47" s="216">
        <f t="shared" si="0"/>
      </c>
      <c r="S47" s="216">
        <f t="shared" si="1"/>
      </c>
      <c r="T47" s="216">
        <f t="shared" si="2"/>
      </c>
      <c r="U47" s="216">
        <f t="shared" si="3"/>
      </c>
      <c r="V47" s="216">
        <f t="shared" si="4"/>
      </c>
      <c r="W47" s="216">
        <f t="shared" si="5"/>
      </c>
      <c r="X47" s="216">
        <f t="shared" si="6"/>
      </c>
      <c r="Y47" s="216">
        <f t="shared" si="7"/>
      </c>
      <c r="Z47" s="216">
        <f>IF(INDEX($B$3:$O$102,45,9)="A",1,"")</f>
      </c>
      <c r="AA47" s="216">
        <f>IF(INDEX($B$3:$O$102,45,9)="B",1,"")</f>
      </c>
    </row>
    <row r="48" spans="1:27" s="224" customFormat="1" ht="12.75">
      <c r="A48" s="216">
        <v>46</v>
      </c>
      <c r="B48" s="217"/>
      <c r="C48" s="218"/>
      <c r="D48" s="219"/>
      <c r="E48" s="220"/>
      <c r="F48" s="221"/>
      <c r="G48" s="218"/>
      <c r="H48" s="218"/>
      <c r="I48" s="218"/>
      <c r="J48" s="222"/>
      <c r="K48" s="219"/>
      <c r="L48" s="219"/>
      <c r="M48" s="219"/>
      <c r="N48" s="219"/>
      <c r="O48" s="219"/>
      <c r="P48" s="226"/>
      <c r="Q48" s="230">
        <f>CONCATENATE(INDEX($B$3:$P$102,46,3),INDEX($B$3:$P$102,46,4))</f>
      </c>
      <c r="R48" s="216">
        <f t="shared" si="0"/>
      </c>
      <c r="S48" s="216">
        <f t="shared" si="1"/>
      </c>
      <c r="T48" s="216">
        <f t="shared" si="2"/>
      </c>
      <c r="U48" s="216">
        <f t="shared" si="3"/>
      </c>
      <c r="V48" s="216">
        <f t="shared" si="4"/>
      </c>
      <c r="W48" s="216">
        <f t="shared" si="5"/>
      </c>
      <c r="X48" s="216">
        <f t="shared" si="6"/>
      </c>
      <c r="Y48" s="216">
        <f t="shared" si="7"/>
      </c>
      <c r="Z48" s="216">
        <f>IF(INDEX($B$3:$O$102,46,9)="A",1,"")</f>
      </c>
      <c r="AA48" s="216">
        <f>IF(INDEX($B$3:$O$102,46,9)="B",1,"")</f>
      </c>
    </row>
    <row r="49" spans="1:27" s="224" customFormat="1" ht="12.75">
      <c r="A49" s="216">
        <v>47</v>
      </c>
      <c r="B49" s="217"/>
      <c r="C49" s="218"/>
      <c r="D49" s="219"/>
      <c r="E49" s="220"/>
      <c r="F49" s="221"/>
      <c r="G49" s="218"/>
      <c r="H49" s="218"/>
      <c r="I49" s="218"/>
      <c r="J49" s="222"/>
      <c r="K49" s="219"/>
      <c r="L49" s="219"/>
      <c r="M49" s="219"/>
      <c r="N49" s="219"/>
      <c r="O49" s="219"/>
      <c r="P49" s="226"/>
      <c r="Q49" s="230">
        <f>CONCATENATE(INDEX($B$3:$P$102,47,3),INDEX($B$3:$P$102,47,4))</f>
      </c>
      <c r="R49" s="216">
        <f t="shared" si="0"/>
      </c>
      <c r="S49" s="216">
        <f t="shared" si="1"/>
      </c>
      <c r="T49" s="216">
        <f t="shared" si="2"/>
      </c>
      <c r="U49" s="216">
        <f t="shared" si="3"/>
      </c>
      <c r="V49" s="216">
        <f t="shared" si="4"/>
      </c>
      <c r="W49" s="216">
        <f t="shared" si="5"/>
      </c>
      <c r="X49" s="216">
        <f t="shared" si="6"/>
      </c>
      <c r="Y49" s="216">
        <f t="shared" si="7"/>
      </c>
      <c r="Z49" s="216">
        <f>IF(INDEX($B$3:$O$102,47,9)="A",1,"")</f>
      </c>
      <c r="AA49" s="216">
        <f>IF(INDEX($B$3:$O$102,47,9)="B",1,"")</f>
      </c>
    </row>
    <row r="50" spans="1:27" s="224" customFormat="1" ht="12.75">
      <c r="A50" s="216">
        <v>48</v>
      </c>
      <c r="B50" s="217"/>
      <c r="C50" s="218"/>
      <c r="D50" s="219"/>
      <c r="E50" s="220"/>
      <c r="F50" s="221"/>
      <c r="G50" s="218"/>
      <c r="H50" s="218"/>
      <c r="I50" s="218"/>
      <c r="J50" s="222"/>
      <c r="K50" s="219"/>
      <c r="L50" s="219"/>
      <c r="M50" s="219"/>
      <c r="N50" s="219"/>
      <c r="O50" s="219"/>
      <c r="P50" s="226"/>
      <c r="Q50" s="230">
        <f>CONCATENATE(INDEX($B$3:$P$102,48,3),INDEX($B$3:$P$102,48,4))</f>
      </c>
      <c r="R50" s="216">
        <f t="shared" si="0"/>
      </c>
      <c r="S50" s="216">
        <f t="shared" si="1"/>
      </c>
      <c r="T50" s="216">
        <f t="shared" si="2"/>
      </c>
      <c r="U50" s="216">
        <f t="shared" si="3"/>
      </c>
      <c r="V50" s="216">
        <f t="shared" si="4"/>
      </c>
      <c r="W50" s="216">
        <f t="shared" si="5"/>
      </c>
      <c r="X50" s="216">
        <f t="shared" si="6"/>
      </c>
      <c r="Y50" s="216">
        <f t="shared" si="7"/>
      </c>
      <c r="Z50" s="216">
        <f>IF(INDEX($B$3:$O$102,48,9)="A",1,"")</f>
      </c>
      <c r="AA50" s="216">
        <f>IF(INDEX($B$3:$O$102,48,9)="B",1,"")</f>
      </c>
    </row>
    <row r="51" spans="1:27" s="224" customFormat="1" ht="12.75">
      <c r="A51" s="216">
        <v>49</v>
      </c>
      <c r="B51" s="217"/>
      <c r="C51" s="218"/>
      <c r="D51" s="219"/>
      <c r="E51" s="220"/>
      <c r="F51" s="221"/>
      <c r="G51" s="218"/>
      <c r="H51" s="218"/>
      <c r="I51" s="218"/>
      <c r="J51" s="222"/>
      <c r="K51" s="219"/>
      <c r="L51" s="219"/>
      <c r="M51" s="219"/>
      <c r="N51" s="219"/>
      <c r="O51" s="219"/>
      <c r="P51" s="226"/>
      <c r="Q51" s="230">
        <f>CONCATENATE(INDEX($B$3:$P$102,49,3),INDEX($B$3:$P$102,49,4))</f>
      </c>
      <c r="R51" s="216">
        <f t="shared" si="0"/>
      </c>
      <c r="S51" s="216">
        <f t="shared" si="1"/>
      </c>
      <c r="T51" s="216">
        <f t="shared" si="2"/>
      </c>
      <c r="U51" s="216">
        <f t="shared" si="3"/>
      </c>
      <c r="V51" s="216">
        <f t="shared" si="4"/>
      </c>
      <c r="W51" s="216">
        <f t="shared" si="5"/>
      </c>
      <c r="X51" s="216">
        <f t="shared" si="6"/>
      </c>
      <c r="Y51" s="216">
        <f t="shared" si="7"/>
      </c>
      <c r="Z51" s="216">
        <f>IF(INDEX($B$3:$O$102,49,9)="A",1,"")</f>
      </c>
      <c r="AA51" s="216">
        <f>IF(INDEX($B$3:$O$102,49,9)="B",1,"")</f>
      </c>
    </row>
    <row r="52" spans="1:27" s="224" customFormat="1" ht="12.75">
      <c r="A52" s="216">
        <v>50</v>
      </c>
      <c r="B52" s="217"/>
      <c r="C52" s="218"/>
      <c r="D52" s="219"/>
      <c r="E52" s="220"/>
      <c r="F52" s="221"/>
      <c r="G52" s="218"/>
      <c r="H52" s="218"/>
      <c r="I52" s="218"/>
      <c r="J52" s="222"/>
      <c r="K52" s="219"/>
      <c r="L52" s="219"/>
      <c r="M52" s="219"/>
      <c r="N52" s="219"/>
      <c r="O52" s="219"/>
      <c r="P52" s="226"/>
      <c r="Q52" s="230">
        <f>CONCATENATE(INDEX($B$3:$P$102,50,3),INDEX($B$3:$P$102,50,4))</f>
      </c>
      <c r="R52" s="216">
        <f t="shared" si="0"/>
      </c>
      <c r="S52" s="216">
        <f t="shared" si="1"/>
      </c>
      <c r="T52" s="216">
        <f t="shared" si="2"/>
      </c>
      <c r="U52" s="216">
        <f t="shared" si="3"/>
      </c>
      <c r="V52" s="216">
        <f t="shared" si="4"/>
      </c>
      <c r="W52" s="216">
        <f t="shared" si="5"/>
      </c>
      <c r="X52" s="216">
        <f t="shared" si="6"/>
      </c>
      <c r="Y52" s="216">
        <f t="shared" si="7"/>
      </c>
      <c r="Z52" s="216">
        <f>IF(INDEX($B$3:$O$102,50,9)="A",1,"")</f>
      </c>
      <c r="AA52" s="216">
        <f>IF(INDEX($B$3:$O$102,50,9)="B",1,"")</f>
      </c>
    </row>
    <row r="53" spans="1:27" s="224" customFormat="1" ht="12.75">
      <c r="A53" s="216">
        <v>51</v>
      </c>
      <c r="B53" s="217"/>
      <c r="C53" s="218"/>
      <c r="D53" s="219"/>
      <c r="E53" s="220"/>
      <c r="F53" s="221"/>
      <c r="G53" s="218"/>
      <c r="H53" s="218"/>
      <c r="I53" s="218"/>
      <c r="J53" s="222"/>
      <c r="K53" s="219"/>
      <c r="L53" s="219"/>
      <c r="M53" s="219"/>
      <c r="N53" s="219"/>
      <c r="O53" s="219"/>
      <c r="P53" s="226"/>
      <c r="Q53" s="230">
        <f>CONCATENATE(INDEX($B$3:$P$102,51,3),INDEX($B$3:$P$102,51,4))</f>
      </c>
      <c r="R53" s="216">
        <f t="shared" si="0"/>
      </c>
      <c r="S53" s="216">
        <f t="shared" si="1"/>
      </c>
      <c r="T53" s="216">
        <f t="shared" si="2"/>
      </c>
      <c r="U53" s="216">
        <f t="shared" si="3"/>
      </c>
      <c r="V53" s="216">
        <f t="shared" si="4"/>
      </c>
      <c r="W53" s="216">
        <f t="shared" si="5"/>
      </c>
      <c r="X53" s="216">
        <f t="shared" si="6"/>
      </c>
      <c r="Y53" s="216">
        <f t="shared" si="7"/>
      </c>
      <c r="Z53" s="216">
        <f>IF(INDEX($B$3:$O$102,51,9)="A",1,"")</f>
      </c>
      <c r="AA53" s="216">
        <f>IF(INDEX($B$3:$O$102,51,9)="B",1,"")</f>
      </c>
    </row>
    <row r="54" spans="1:27" s="224" customFormat="1" ht="12.75">
      <c r="A54" s="216">
        <v>52</v>
      </c>
      <c r="B54" s="217"/>
      <c r="C54" s="218"/>
      <c r="D54" s="219"/>
      <c r="E54" s="220"/>
      <c r="F54" s="221"/>
      <c r="G54" s="218"/>
      <c r="H54" s="218"/>
      <c r="I54" s="218"/>
      <c r="J54" s="222"/>
      <c r="K54" s="219"/>
      <c r="L54" s="219"/>
      <c r="M54" s="219"/>
      <c r="N54" s="219"/>
      <c r="O54" s="219"/>
      <c r="P54" s="226"/>
      <c r="Q54" s="230">
        <f>CONCATENATE(INDEX($B$3:$P$102,52,3),INDEX($B$3:$P$102,52,4))</f>
      </c>
      <c r="R54" s="216">
        <f t="shared" si="0"/>
      </c>
      <c r="S54" s="216">
        <f t="shared" si="1"/>
      </c>
      <c r="T54" s="216">
        <f t="shared" si="2"/>
      </c>
      <c r="U54" s="216">
        <f t="shared" si="3"/>
      </c>
      <c r="V54" s="216">
        <f t="shared" si="4"/>
      </c>
      <c r="W54" s="216">
        <f t="shared" si="5"/>
      </c>
      <c r="X54" s="216">
        <f t="shared" si="6"/>
      </c>
      <c r="Y54" s="216">
        <f t="shared" si="7"/>
      </c>
      <c r="Z54" s="216">
        <f>IF(INDEX($B$3:$O$102,52,9)="A",1,"")</f>
      </c>
      <c r="AA54" s="216">
        <f>IF(INDEX($B$3:$O$102,52,9)="B",1,"")</f>
      </c>
    </row>
    <row r="55" spans="1:27" s="224" customFormat="1" ht="12.75">
      <c r="A55" s="216">
        <v>53</v>
      </c>
      <c r="B55" s="217"/>
      <c r="C55" s="218"/>
      <c r="D55" s="219"/>
      <c r="E55" s="220"/>
      <c r="F55" s="221"/>
      <c r="G55" s="218"/>
      <c r="H55" s="218"/>
      <c r="I55" s="218"/>
      <c r="J55" s="222"/>
      <c r="K55" s="219"/>
      <c r="L55" s="219"/>
      <c r="M55" s="219"/>
      <c r="N55" s="219"/>
      <c r="O55" s="219"/>
      <c r="P55" s="226"/>
      <c r="Q55" s="230">
        <f>CONCATENATE(INDEX($B$3:$P$102,53,3),INDEX($B$3:$P$102,53,4))</f>
      </c>
      <c r="R55" s="216">
        <f t="shared" si="0"/>
      </c>
      <c r="S55" s="216">
        <f t="shared" si="1"/>
      </c>
      <c r="T55" s="216">
        <f t="shared" si="2"/>
      </c>
      <c r="U55" s="216">
        <f t="shared" si="3"/>
      </c>
      <c r="V55" s="216">
        <f t="shared" si="4"/>
      </c>
      <c r="W55" s="216">
        <f t="shared" si="5"/>
      </c>
      <c r="X55" s="216">
        <f t="shared" si="6"/>
      </c>
      <c r="Y55" s="216">
        <f t="shared" si="7"/>
      </c>
      <c r="Z55" s="216">
        <f>IF(INDEX($B$3:$O$102,53,9)="A",1,"")</f>
      </c>
      <c r="AA55" s="216">
        <f>IF(INDEX($B$3:$O$102,53,9)="B",1,"")</f>
      </c>
    </row>
    <row r="56" spans="1:27" s="224" customFormat="1" ht="12.75">
      <c r="A56" s="216">
        <v>54</v>
      </c>
      <c r="B56" s="217"/>
      <c r="C56" s="218"/>
      <c r="D56" s="219"/>
      <c r="E56" s="220"/>
      <c r="F56" s="221"/>
      <c r="G56" s="218"/>
      <c r="H56" s="218"/>
      <c r="I56" s="218"/>
      <c r="J56" s="222"/>
      <c r="K56" s="219"/>
      <c r="L56" s="219"/>
      <c r="M56" s="219"/>
      <c r="N56" s="219"/>
      <c r="O56" s="219"/>
      <c r="P56" s="226"/>
      <c r="Q56" s="230">
        <f>CONCATENATE(INDEX($B$3:$P$102,54,3),INDEX($B$3:$P$102,54,4))</f>
      </c>
      <c r="R56" s="216">
        <f t="shared" si="0"/>
      </c>
      <c r="S56" s="216">
        <f t="shared" si="1"/>
      </c>
      <c r="T56" s="216">
        <f t="shared" si="2"/>
      </c>
      <c r="U56" s="216">
        <f t="shared" si="3"/>
      </c>
      <c r="V56" s="216">
        <f t="shared" si="4"/>
      </c>
      <c r="W56" s="216">
        <f t="shared" si="5"/>
      </c>
      <c r="X56" s="216">
        <f t="shared" si="6"/>
      </c>
      <c r="Y56" s="216">
        <f t="shared" si="7"/>
      </c>
      <c r="Z56" s="216">
        <f>IF(INDEX($B$3:$O$102,54,9)="A",1,"")</f>
      </c>
      <c r="AA56" s="216">
        <f>IF(INDEX($B$3:$O$102,54,9)="B",1,"")</f>
      </c>
    </row>
    <row r="57" spans="1:27" s="224" customFormat="1" ht="12.75">
      <c r="A57" s="216">
        <v>55</v>
      </c>
      <c r="B57" s="217"/>
      <c r="C57" s="218"/>
      <c r="D57" s="219"/>
      <c r="E57" s="220"/>
      <c r="F57" s="221"/>
      <c r="G57" s="218"/>
      <c r="H57" s="218"/>
      <c r="I57" s="218"/>
      <c r="J57" s="222"/>
      <c r="K57" s="219"/>
      <c r="L57" s="219"/>
      <c r="M57" s="219"/>
      <c r="N57" s="219"/>
      <c r="O57" s="219"/>
      <c r="P57" s="226"/>
      <c r="Q57" s="230">
        <f>CONCATENATE(INDEX($B$3:$P$102,55,3),INDEX($B$3:$P$102,55,4))</f>
      </c>
      <c r="R57" s="216">
        <f t="shared" si="0"/>
      </c>
      <c r="S57" s="216">
        <f t="shared" si="1"/>
      </c>
      <c r="T57" s="216">
        <f t="shared" si="2"/>
      </c>
      <c r="U57" s="216">
        <f t="shared" si="3"/>
      </c>
      <c r="V57" s="216">
        <f t="shared" si="4"/>
      </c>
      <c r="W57" s="216">
        <f t="shared" si="5"/>
      </c>
      <c r="X57" s="216">
        <f t="shared" si="6"/>
      </c>
      <c r="Y57" s="216">
        <f t="shared" si="7"/>
      </c>
      <c r="Z57" s="216">
        <f>IF(INDEX($B$3:$O$102,55,9)="A",1,"")</f>
      </c>
      <c r="AA57" s="216">
        <f>IF(INDEX($B$3:$O$102,55,9)="B",1,"")</f>
      </c>
    </row>
    <row r="58" spans="1:27" s="224" customFormat="1" ht="12.75">
      <c r="A58" s="216">
        <v>56</v>
      </c>
      <c r="B58" s="217"/>
      <c r="C58" s="218"/>
      <c r="D58" s="219"/>
      <c r="E58" s="220"/>
      <c r="F58" s="221"/>
      <c r="G58" s="218"/>
      <c r="H58" s="218"/>
      <c r="I58" s="218"/>
      <c r="J58" s="222"/>
      <c r="K58" s="219"/>
      <c r="L58" s="219"/>
      <c r="M58" s="219"/>
      <c r="N58" s="219"/>
      <c r="O58" s="219"/>
      <c r="P58" s="226"/>
      <c r="Q58" s="230">
        <f>CONCATENATE(INDEX($B$3:$P$102,56,3),INDEX($B$3:$P$102,56,4))</f>
      </c>
      <c r="R58" s="216">
        <f t="shared" si="0"/>
      </c>
      <c r="S58" s="216">
        <f t="shared" si="1"/>
      </c>
      <c r="T58" s="216">
        <f t="shared" si="2"/>
      </c>
      <c r="U58" s="216">
        <f t="shared" si="3"/>
      </c>
      <c r="V58" s="216">
        <f t="shared" si="4"/>
      </c>
      <c r="W58" s="216">
        <f t="shared" si="5"/>
      </c>
      <c r="X58" s="216">
        <f t="shared" si="6"/>
      </c>
      <c r="Y58" s="216">
        <f t="shared" si="7"/>
      </c>
      <c r="Z58" s="216">
        <f>IF(INDEX($B$3:$O$102,56,9)="A",1,"")</f>
      </c>
      <c r="AA58" s="216">
        <f>IF(INDEX($B$3:$O$102,56,9)="B",1,"")</f>
      </c>
    </row>
    <row r="59" spans="1:27" s="224" customFormat="1" ht="12.75">
      <c r="A59" s="216">
        <v>57</v>
      </c>
      <c r="B59" s="217"/>
      <c r="C59" s="218"/>
      <c r="D59" s="219"/>
      <c r="E59" s="220"/>
      <c r="F59" s="221"/>
      <c r="G59" s="218"/>
      <c r="H59" s="218"/>
      <c r="I59" s="218"/>
      <c r="J59" s="222"/>
      <c r="K59" s="219"/>
      <c r="L59" s="219"/>
      <c r="M59" s="219"/>
      <c r="N59" s="219"/>
      <c r="O59" s="219"/>
      <c r="P59" s="226"/>
      <c r="Q59" s="230">
        <f>CONCATENATE(INDEX($B$3:$P$102,57,3),INDEX($B$3:$P$102,57,4))</f>
      </c>
      <c r="R59" s="216">
        <f t="shared" si="0"/>
      </c>
      <c r="S59" s="216">
        <f t="shared" si="1"/>
      </c>
      <c r="T59" s="216">
        <f t="shared" si="2"/>
      </c>
      <c r="U59" s="216">
        <f t="shared" si="3"/>
      </c>
      <c r="V59" s="216">
        <f t="shared" si="4"/>
      </c>
      <c r="W59" s="216">
        <f t="shared" si="5"/>
      </c>
      <c r="X59" s="216">
        <f t="shared" si="6"/>
      </c>
      <c r="Y59" s="216">
        <f t="shared" si="7"/>
      </c>
      <c r="Z59" s="216">
        <f>IF(INDEX($B$3:$O$102,57,9)="A",1,"")</f>
      </c>
      <c r="AA59" s="216">
        <f>IF(INDEX($B$3:$O$102,57,9)="B",1,"")</f>
      </c>
    </row>
    <row r="60" spans="1:27" s="224" customFormat="1" ht="12.75">
      <c r="A60" s="216">
        <v>58</v>
      </c>
      <c r="B60" s="217"/>
      <c r="C60" s="218"/>
      <c r="D60" s="219"/>
      <c r="E60" s="220"/>
      <c r="F60" s="221"/>
      <c r="G60" s="218"/>
      <c r="H60" s="218"/>
      <c r="I60" s="218"/>
      <c r="J60" s="222"/>
      <c r="K60" s="219"/>
      <c r="L60" s="219"/>
      <c r="M60" s="219"/>
      <c r="N60" s="219"/>
      <c r="O60" s="219"/>
      <c r="P60" s="226"/>
      <c r="Q60" s="230">
        <f>CONCATENATE(INDEX($B$3:$P$102,58,3),INDEX($B$3:$P$102,58,4))</f>
      </c>
      <c r="R60" s="216">
        <f t="shared" si="0"/>
      </c>
      <c r="S60" s="216">
        <f t="shared" si="1"/>
      </c>
      <c r="T60" s="216">
        <f t="shared" si="2"/>
      </c>
      <c r="U60" s="216">
        <f t="shared" si="3"/>
      </c>
      <c r="V60" s="216">
        <f t="shared" si="4"/>
      </c>
      <c r="W60" s="216">
        <f t="shared" si="5"/>
      </c>
      <c r="X60" s="216">
        <f t="shared" si="6"/>
      </c>
      <c r="Y60" s="216">
        <f t="shared" si="7"/>
      </c>
      <c r="Z60" s="216">
        <f>IF(INDEX($B$3:$O$102,58,9)="A",1,"")</f>
      </c>
      <c r="AA60" s="216">
        <f>IF(INDEX($B$3:$O$102,58,9)="B",1,"")</f>
      </c>
    </row>
    <row r="61" spans="1:27" s="224" customFormat="1" ht="12.75">
      <c r="A61" s="216">
        <v>59</v>
      </c>
      <c r="B61" s="217"/>
      <c r="C61" s="218"/>
      <c r="D61" s="219"/>
      <c r="E61" s="220"/>
      <c r="F61" s="221"/>
      <c r="G61" s="218"/>
      <c r="H61" s="218"/>
      <c r="I61" s="218"/>
      <c r="J61" s="222"/>
      <c r="K61" s="219"/>
      <c r="L61" s="219"/>
      <c r="M61" s="219"/>
      <c r="N61" s="219"/>
      <c r="O61" s="219"/>
      <c r="P61" s="226"/>
      <c r="Q61" s="230">
        <f>CONCATENATE(INDEX($B$3:$P$102,59,3),INDEX($B$3:$P$102,59,4))</f>
      </c>
      <c r="R61" s="216">
        <f t="shared" si="0"/>
      </c>
      <c r="S61" s="216">
        <f t="shared" si="1"/>
      </c>
      <c r="T61" s="216">
        <f t="shared" si="2"/>
      </c>
      <c r="U61" s="216">
        <f t="shared" si="3"/>
      </c>
      <c r="V61" s="216">
        <f t="shared" si="4"/>
      </c>
      <c r="W61" s="216">
        <f t="shared" si="5"/>
      </c>
      <c r="X61" s="216">
        <f t="shared" si="6"/>
      </c>
      <c r="Y61" s="216">
        <f t="shared" si="7"/>
      </c>
      <c r="Z61" s="216">
        <f>IF(INDEX($B$3:$O$102,59,9)="A",1,"")</f>
      </c>
      <c r="AA61" s="216">
        <f>IF(INDEX($B$3:$O$102,59,9)="B",1,"")</f>
      </c>
    </row>
    <row r="62" spans="1:27" s="224" customFormat="1" ht="12.75">
      <c r="A62" s="216">
        <v>60</v>
      </c>
      <c r="B62" s="217"/>
      <c r="C62" s="218"/>
      <c r="D62" s="219"/>
      <c r="E62" s="220"/>
      <c r="F62" s="221"/>
      <c r="G62" s="218"/>
      <c r="H62" s="218"/>
      <c r="I62" s="218"/>
      <c r="J62" s="222"/>
      <c r="K62" s="219"/>
      <c r="L62" s="219"/>
      <c r="M62" s="219"/>
      <c r="N62" s="219"/>
      <c r="O62" s="219"/>
      <c r="P62" s="226"/>
      <c r="Q62" s="230">
        <f>CONCATENATE(INDEX($B$3:$P$102,60,3),INDEX($B$3:$P$102,60,4))</f>
      </c>
      <c r="R62" s="216">
        <f t="shared" si="0"/>
      </c>
      <c r="S62" s="216">
        <f t="shared" si="1"/>
      </c>
      <c r="T62" s="216">
        <f t="shared" si="2"/>
      </c>
      <c r="U62" s="216">
        <f t="shared" si="3"/>
      </c>
      <c r="V62" s="216">
        <f t="shared" si="4"/>
      </c>
      <c r="W62" s="216">
        <f t="shared" si="5"/>
      </c>
      <c r="X62" s="216">
        <f t="shared" si="6"/>
      </c>
      <c r="Y62" s="216">
        <f t="shared" si="7"/>
      </c>
      <c r="Z62" s="216">
        <f>IF(INDEX($B$3:$O$102,60,9)="A",1,"")</f>
      </c>
      <c r="AA62" s="216">
        <f>IF(INDEX($B$3:$O$102,60,9)="B",1,"")</f>
      </c>
    </row>
    <row r="63" spans="1:27" s="224" customFormat="1" ht="12.75">
      <c r="A63" s="216">
        <v>61</v>
      </c>
      <c r="B63" s="217"/>
      <c r="C63" s="218"/>
      <c r="D63" s="219"/>
      <c r="E63" s="220"/>
      <c r="F63" s="221"/>
      <c r="G63" s="218"/>
      <c r="H63" s="218"/>
      <c r="I63" s="218"/>
      <c r="J63" s="222"/>
      <c r="K63" s="219"/>
      <c r="L63" s="219"/>
      <c r="M63" s="219"/>
      <c r="N63" s="219"/>
      <c r="O63" s="219"/>
      <c r="P63" s="226"/>
      <c r="Q63" s="230">
        <f>CONCATENATE(INDEX($B$3:$P$102,61,3),INDEX($B$3:$P$102,61,4))</f>
      </c>
      <c r="R63" s="216">
        <f t="shared" si="0"/>
      </c>
      <c r="S63" s="216">
        <f t="shared" si="1"/>
      </c>
      <c r="T63" s="216">
        <f t="shared" si="2"/>
      </c>
      <c r="U63" s="216">
        <f t="shared" si="3"/>
      </c>
      <c r="V63" s="216">
        <f t="shared" si="4"/>
      </c>
      <c r="W63" s="216">
        <f t="shared" si="5"/>
      </c>
      <c r="X63" s="216">
        <f t="shared" si="6"/>
      </c>
      <c r="Y63" s="216">
        <f t="shared" si="7"/>
      </c>
      <c r="Z63" s="216">
        <f>IF(INDEX($B$3:$O$102,61,9)="A",1,"")</f>
      </c>
      <c r="AA63" s="216">
        <f>IF(INDEX($B$3:$O$102,61,9)="B",1,"")</f>
      </c>
    </row>
    <row r="64" spans="1:27" s="224" customFormat="1" ht="12.75">
      <c r="A64" s="216">
        <v>62</v>
      </c>
      <c r="B64" s="217"/>
      <c r="C64" s="218"/>
      <c r="D64" s="219"/>
      <c r="E64" s="220"/>
      <c r="F64" s="221"/>
      <c r="G64" s="218"/>
      <c r="H64" s="218"/>
      <c r="I64" s="218"/>
      <c r="J64" s="222"/>
      <c r="K64" s="219"/>
      <c r="L64" s="219"/>
      <c r="M64" s="219"/>
      <c r="N64" s="219"/>
      <c r="O64" s="219"/>
      <c r="P64" s="226"/>
      <c r="Q64" s="230">
        <f>CONCATENATE(INDEX($B$3:$P$102,62,3),INDEX($B$3:$P$102,62,4))</f>
      </c>
      <c r="R64" s="216">
        <f t="shared" si="0"/>
      </c>
      <c r="S64" s="216">
        <f t="shared" si="1"/>
      </c>
      <c r="T64" s="216">
        <f t="shared" si="2"/>
      </c>
      <c r="U64" s="216">
        <f t="shared" si="3"/>
      </c>
      <c r="V64" s="216">
        <f t="shared" si="4"/>
      </c>
      <c r="W64" s="216">
        <f t="shared" si="5"/>
      </c>
      <c r="X64" s="216">
        <f t="shared" si="6"/>
      </c>
      <c r="Y64" s="216">
        <f t="shared" si="7"/>
      </c>
      <c r="Z64" s="216">
        <f>IF(INDEX($B$3:$O$102,62,9)="A",1,"")</f>
      </c>
      <c r="AA64" s="216">
        <f>IF(INDEX($B$3:$O$102,62,9)="B",1,"")</f>
      </c>
    </row>
    <row r="65" spans="1:27" s="224" customFormat="1" ht="12.75">
      <c r="A65" s="216">
        <v>63</v>
      </c>
      <c r="B65" s="217"/>
      <c r="C65" s="218"/>
      <c r="D65" s="219"/>
      <c r="E65" s="220"/>
      <c r="F65" s="221"/>
      <c r="G65" s="218"/>
      <c r="H65" s="218"/>
      <c r="I65" s="218"/>
      <c r="J65" s="222"/>
      <c r="K65" s="219"/>
      <c r="L65" s="219"/>
      <c r="M65" s="219"/>
      <c r="N65" s="219"/>
      <c r="O65" s="219"/>
      <c r="P65" s="226"/>
      <c r="Q65" s="230">
        <f>CONCATENATE(INDEX($B$3:$P$102,63,3),INDEX($B$3:$P$102,63,4))</f>
      </c>
      <c r="R65" s="216">
        <f t="shared" si="0"/>
      </c>
      <c r="S65" s="216">
        <f t="shared" si="1"/>
      </c>
      <c r="T65" s="216">
        <f t="shared" si="2"/>
      </c>
      <c r="U65" s="216">
        <f t="shared" si="3"/>
      </c>
      <c r="V65" s="216">
        <f t="shared" si="4"/>
      </c>
      <c r="W65" s="216">
        <f t="shared" si="5"/>
      </c>
      <c r="X65" s="216">
        <f t="shared" si="6"/>
      </c>
      <c r="Y65" s="216">
        <f t="shared" si="7"/>
      </c>
      <c r="Z65" s="216">
        <f>IF(INDEX($B$3:$O$102,63,9)="A",1,"")</f>
      </c>
      <c r="AA65" s="216">
        <f>IF(INDEX($B$3:$O$102,63,9)="B",1,"")</f>
      </c>
    </row>
    <row r="66" spans="1:27" s="224" customFormat="1" ht="12.75">
      <c r="A66" s="216">
        <v>64</v>
      </c>
      <c r="B66" s="217"/>
      <c r="C66" s="218"/>
      <c r="D66" s="219"/>
      <c r="E66" s="220"/>
      <c r="F66" s="221"/>
      <c r="G66" s="218"/>
      <c r="H66" s="218"/>
      <c r="I66" s="218"/>
      <c r="J66" s="222"/>
      <c r="K66" s="219"/>
      <c r="L66" s="219"/>
      <c r="M66" s="219"/>
      <c r="N66" s="219"/>
      <c r="O66" s="219"/>
      <c r="P66" s="226"/>
      <c r="Q66" s="230">
        <f>CONCATENATE(INDEX($B$3:$P$102,64,3),INDEX($B$3:$P$102,64,4))</f>
      </c>
      <c r="R66" s="216">
        <f t="shared" si="0"/>
      </c>
      <c r="S66" s="216">
        <f t="shared" si="1"/>
      </c>
      <c r="T66" s="216">
        <f t="shared" si="2"/>
      </c>
      <c r="U66" s="216">
        <f t="shared" si="3"/>
      </c>
      <c r="V66" s="216">
        <f t="shared" si="4"/>
      </c>
      <c r="W66" s="216">
        <f t="shared" si="5"/>
      </c>
      <c r="X66" s="216">
        <f t="shared" si="6"/>
      </c>
      <c r="Y66" s="216">
        <f t="shared" si="7"/>
      </c>
      <c r="Z66" s="216">
        <f>IF(INDEX($B$3:$O$102,64,9)="A",1,"")</f>
      </c>
      <c r="AA66" s="216">
        <f>IF(INDEX($B$3:$O$102,64,9)="B",1,"")</f>
      </c>
    </row>
    <row r="67" spans="1:27" s="224" customFormat="1" ht="12.75">
      <c r="A67" s="216">
        <v>65</v>
      </c>
      <c r="B67" s="217"/>
      <c r="C67" s="218"/>
      <c r="D67" s="219"/>
      <c r="E67" s="220"/>
      <c r="F67" s="221"/>
      <c r="G67" s="218"/>
      <c r="H67" s="218"/>
      <c r="I67" s="218"/>
      <c r="J67" s="222"/>
      <c r="K67" s="219"/>
      <c r="L67" s="219"/>
      <c r="M67" s="219"/>
      <c r="N67" s="219"/>
      <c r="O67" s="219"/>
      <c r="P67" s="226"/>
      <c r="Q67" s="230">
        <f>CONCATENATE(INDEX($B$3:$P$102,65,3),INDEX($B$3:$P$102,65,4))</f>
      </c>
      <c r="R67" s="216">
        <f t="shared" si="0"/>
      </c>
      <c r="S67" s="216">
        <f t="shared" si="1"/>
      </c>
      <c r="T67" s="216">
        <f t="shared" si="2"/>
      </c>
      <c r="U67" s="216">
        <f t="shared" si="3"/>
      </c>
      <c r="V67" s="216">
        <f t="shared" si="4"/>
      </c>
      <c r="W67" s="216">
        <f t="shared" si="5"/>
      </c>
      <c r="X67" s="216">
        <f t="shared" si="6"/>
      </c>
      <c r="Y67" s="216">
        <f t="shared" si="7"/>
      </c>
      <c r="Z67" s="216">
        <f>IF(INDEX($B$3:$O$102,65,9)="A",1,"")</f>
      </c>
      <c r="AA67" s="216">
        <f>IF(INDEX($B$3:$O$102,65,9)="B",1,"")</f>
      </c>
    </row>
    <row r="68" spans="1:27" s="224" customFormat="1" ht="12.75">
      <c r="A68" s="216">
        <v>66</v>
      </c>
      <c r="B68" s="217"/>
      <c r="C68" s="218"/>
      <c r="D68" s="219"/>
      <c r="E68" s="220"/>
      <c r="F68" s="221"/>
      <c r="G68" s="218"/>
      <c r="H68" s="218"/>
      <c r="I68" s="218"/>
      <c r="J68" s="222"/>
      <c r="K68" s="219"/>
      <c r="L68" s="219"/>
      <c r="M68" s="219"/>
      <c r="N68" s="219"/>
      <c r="O68" s="219"/>
      <c r="P68" s="226"/>
      <c r="Q68" s="230">
        <f>CONCATENATE(INDEX($B$3:$P$102,66,3),INDEX($B$3:$P$102,66,4))</f>
      </c>
      <c r="R68" s="216">
        <f aca="true" t="shared" si="8" ref="R68:R102">IF($Q68=$R$1,1,"")</f>
      </c>
      <c r="S68" s="216">
        <f aca="true" t="shared" si="9" ref="S68:S102">IF($Q68=$S$1,1,"")</f>
      </c>
      <c r="T68" s="216">
        <f aca="true" t="shared" si="10" ref="T68:T102">IF($Q68=$T$1,1,"")</f>
      </c>
      <c r="U68" s="216">
        <f aca="true" t="shared" si="11" ref="U68:U102">IF($Q68=$U$1,1,"")</f>
      </c>
      <c r="V68" s="216">
        <f aca="true" t="shared" si="12" ref="V68:V102">IF($Q68=$V$1,1,"")</f>
      </c>
      <c r="W68" s="216">
        <f aca="true" t="shared" si="13" ref="W68:W102">IF($Q68=$W$1,1,"")</f>
      </c>
      <c r="X68" s="216">
        <f aca="true" t="shared" si="14" ref="X68:X102">IF($Q68=$X$1,1,"")</f>
      </c>
      <c r="Y68" s="216">
        <f aca="true" t="shared" si="15" ref="Y68:Y102">IF($Q68=$Y$1,1,"")</f>
      </c>
      <c r="Z68" s="216">
        <f>IF(INDEX($B$3:$O$102,66,9)="A",1,"")</f>
      </c>
      <c r="AA68" s="216">
        <f>IF(INDEX($B$3:$O$102,66,9)="B",1,"")</f>
      </c>
    </row>
    <row r="69" spans="1:27" s="224" customFormat="1" ht="12.75">
      <c r="A69" s="216">
        <v>67</v>
      </c>
      <c r="B69" s="217"/>
      <c r="C69" s="218"/>
      <c r="D69" s="219"/>
      <c r="E69" s="220"/>
      <c r="F69" s="221"/>
      <c r="G69" s="218"/>
      <c r="H69" s="218"/>
      <c r="I69" s="218"/>
      <c r="J69" s="222"/>
      <c r="K69" s="219"/>
      <c r="L69" s="219"/>
      <c r="M69" s="219"/>
      <c r="N69" s="219"/>
      <c r="O69" s="219"/>
      <c r="P69" s="226"/>
      <c r="Q69" s="230">
        <f>CONCATENATE(INDEX($B$3:$P$102,67,3),INDEX($B$3:$P$102,67,4))</f>
      </c>
      <c r="R69" s="216">
        <f t="shared" si="8"/>
      </c>
      <c r="S69" s="216">
        <f t="shared" si="9"/>
      </c>
      <c r="T69" s="216">
        <f t="shared" si="10"/>
      </c>
      <c r="U69" s="216">
        <f t="shared" si="11"/>
      </c>
      <c r="V69" s="216">
        <f t="shared" si="12"/>
      </c>
      <c r="W69" s="216">
        <f t="shared" si="13"/>
      </c>
      <c r="X69" s="216">
        <f t="shared" si="14"/>
      </c>
      <c r="Y69" s="216">
        <f t="shared" si="15"/>
      </c>
      <c r="Z69" s="216">
        <f>IF(INDEX($B$3:$O$102,67,9)="A",1,"")</f>
      </c>
      <c r="AA69" s="216">
        <f>IF(INDEX($B$3:$O$102,67,9)="B",1,"")</f>
      </c>
    </row>
    <row r="70" spans="1:27" s="224" customFormat="1" ht="12.75">
      <c r="A70" s="216">
        <v>68</v>
      </c>
      <c r="B70" s="217"/>
      <c r="C70" s="218"/>
      <c r="D70" s="219"/>
      <c r="E70" s="220"/>
      <c r="F70" s="221"/>
      <c r="G70" s="218"/>
      <c r="H70" s="218"/>
      <c r="I70" s="218"/>
      <c r="J70" s="222"/>
      <c r="K70" s="219"/>
      <c r="L70" s="219"/>
      <c r="M70" s="219"/>
      <c r="N70" s="219"/>
      <c r="O70" s="219"/>
      <c r="P70" s="226"/>
      <c r="Q70" s="230">
        <f>CONCATENATE(INDEX($B$3:$P$102,68,3),INDEX($B$3:$P$102,68,4))</f>
      </c>
      <c r="R70" s="216">
        <f t="shared" si="8"/>
      </c>
      <c r="S70" s="216">
        <f t="shared" si="9"/>
      </c>
      <c r="T70" s="216">
        <f t="shared" si="10"/>
      </c>
      <c r="U70" s="216">
        <f t="shared" si="11"/>
      </c>
      <c r="V70" s="216">
        <f t="shared" si="12"/>
      </c>
      <c r="W70" s="216">
        <f t="shared" si="13"/>
      </c>
      <c r="X70" s="216">
        <f t="shared" si="14"/>
      </c>
      <c r="Y70" s="216">
        <f t="shared" si="15"/>
      </c>
      <c r="Z70" s="216">
        <f>IF(INDEX($B$3:$O$102,68,9)="A",1,"")</f>
      </c>
      <c r="AA70" s="216">
        <f>IF(INDEX($B$3:$O$102,68,9)="B",1,"")</f>
      </c>
    </row>
    <row r="71" spans="1:27" s="224" customFormat="1" ht="12.75">
      <c r="A71" s="216">
        <v>69</v>
      </c>
      <c r="B71" s="217"/>
      <c r="C71" s="218"/>
      <c r="D71" s="219"/>
      <c r="E71" s="220"/>
      <c r="F71" s="221"/>
      <c r="G71" s="218"/>
      <c r="H71" s="218"/>
      <c r="I71" s="218"/>
      <c r="J71" s="222"/>
      <c r="K71" s="219"/>
      <c r="L71" s="219"/>
      <c r="M71" s="219"/>
      <c r="N71" s="219"/>
      <c r="O71" s="219"/>
      <c r="P71" s="226"/>
      <c r="Q71" s="230">
        <f>CONCATENATE(INDEX($B$3:$P$102,69,3),INDEX($B$3:$P$102,69,4))</f>
      </c>
      <c r="R71" s="216">
        <f t="shared" si="8"/>
      </c>
      <c r="S71" s="216">
        <f t="shared" si="9"/>
      </c>
      <c r="T71" s="216">
        <f t="shared" si="10"/>
      </c>
      <c r="U71" s="216">
        <f t="shared" si="11"/>
      </c>
      <c r="V71" s="216">
        <f t="shared" si="12"/>
      </c>
      <c r="W71" s="216">
        <f t="shared" si="13"/>
      </c>
      <c r="X71" s="216">
        <f t="shared" si="14"/>
      </c>
      <c r="Y71" s="216">
        <f t="shared" si="15"/>
      </c>
      <c r="Z71" s="216">
        <f>IF(INDEX($B$3:$O$102,69,9)="A",1,"")</f>
      </c>
      <c r="AA71" s="216">
        <f>IF(INDEX($B$3:$O$102,69,9)="B",1,"")</f>
      </c>
    </row>
    <row r="72" spans="1:27" s="224" customFormat="1" ht="12.75">
      <c r="A72" s="216">
        <v>70</v>
      </c>
      <c r="B72" s="217"/>
      <c r="C72" s="218"/>
      <c r="D72" s="219"/>
      <c r="E72" s="220"/>
      <c r="F72" s="221"/>
      <c r="G72" s="218"/>
      <c r="H72" s="218"/>
      <c r="I72" s="218"/>
      <c r="J72" s="222"/>
      <c r="K72" s="219"/>
      <c r="L72" s="219"/>
      <c r="M72" s="219"/>
      <c r="N72" s="219"/>
      <c r="O72" s="219"/>
      <c r="P72" s="226"/>
      <c r="Q72" s="230">
        <f>CONCATENATE(INDEX($B$3:$P$102,70,3),INDEX($B$3:$P$102,70,4))</f>
      </c>
      <c r="R72" s="216">
        <f t="shared" si="8"/>
      </c>
      <c r="S72" s="216">
        <f t="shared" si="9"/>
      </c>
      <c r="T72" s="216">
        <f t="shared" si="10"/>
      </c>
      <c r="U72" s="216">
        <f t="shared" si="11"/>
      </c>
      <c r="V72" s="216">
        <f t="shared" si="12"/>
      </c>
      <c r="W72" s="216">
        <f t="shared" si="13"/>
      </c>
      <c r="X72" s="216">
        <f t="shared" si="14"/>
      </c>
      <c r="Y72" s="216">
        <f t="shared" si="15"/>
      </c>
      <c r="Z72" s="216">
        <f>IF(INDEX($B$3:$O$102,70,9)="A",1,"")</f>
      </c>
      <c r="AA72" s="216">
        <f>IF(INDEX($B$3:$O$102,70,9)="B",1,"")</f>
      </c>
    </row>
    <row r="73" spans="1:27" s="224" customFormat="1" ht="12.75">
      <c r="A73" s="216">
        <v>71</v>
      </c>
      <c r="B73" s="217"/>
      <c r="C73" s="218"/>
      <c r="D73" s="219"/>
      <c r="E73" s="220"/>
      <c r="F73" s="221"/>
      <c r="G73" s="218"/>
      <c r="H73" s="218"/>
      <c r="I73" s="218"/>
      <c r="J73" s="222"/>
      <c r="K73" s="219"/>
      <c r="L73" s="219"/>
      <c r="M73" s="219"/>
      <c r="N73" s="219"/>
      <c r="O73" s="219"/>
      <c r="P73" s="226"/>
      <c r="Q73" s="230">
        <f>CONCATENATE(INDEX($B$3:$P$102,71,3),INDEX($B$3:$P$102,71,4))</f>
      </c>
      <c r="R73" s="216">
        <f t="shared" si="8"/>
      </c>
      <c r="S73" s="216">
        <f t="shared" si="9"/>
      </c>
      <c r="T73" s="216">
        <f t="shared" si="10"/>
      </c>
      <c r="U73" s="216">
        <f t="shared" si="11"/>
      </c>
      <c r="V73" s="216">
        <f t="shared" si="12"/>
      </c>
      <c r="W73" s="216">
        <f t="shared" si="13"/>
      </c>
      <c r="X73" s="216">
        <f t="shared" si="14"/>
      </c>
      <c r="Y73" s="216">
        <f t="shared" si="15"/>
      </c>
      <c r="Z73" s="216">
        <f>IF(INDEX($B$3:$O$102,71,9)="A",1,"")</f>
      </c>
      <c r="AA73" s="216">
        <f>IF(INDEX($B$3:$O$102,71,9)="B",1,"")</f>
      </c>
    </row>
    <row r="74" spans="1:27" s="224" customFormat="1" ht="12.75">
      <c r="A74" s="216">
        <v>72</v>
      </c>
      <c r="B74" s="217"/>
      <c r="C74" s="218"/>
      <c r="D74" s="219"/>
      <c r="E74" s="220"/>
      <c r="F74" s="221"/>
      <c r="G74" s="218"/>
      <c r="H74" s="218"/>
      <c r="I74" s="218"/>
      <c r="J74" s="222"/>
      <c r="K74" s="219"/>
      <c r="L74" s="219"/>
      <c r="M74" s="219"/>
      <c r="N74" s="219"/>
      <c r="O74" s="219"/>
      <c r="P74" s="226"/>
      <c r="Q74" s="230">
        <f>CONCATENATE(INDEX($B$3:$P$102,72,3),INDEX($B$3:$P$102,72,4))</f>
      </c>
      <c r="R74" s="216">
        <f t="shared" si="8"/>
      </c>
      <c r="S74" s="216">
        <f t="shared" si="9"/>
      </c>
      <c r="T74" s="216">
        <f t="shared" si="10"/>
      </c>
      <c r="U74" s="216">
        <f t="shared" si="11"/>
      </c>
      <c r="V74" s="216">
        <f t="shared" si="12"/>
      </c>
      <c r="W74" s="216">
        <f t="shared" si="13"/>
      </c>
      <c r="X74" s="216">
        <f t="shared" si="14"/>
      </c>
      <c r="Y74" s="216">
        <f t="shared" si="15"/>
      </c>
      <c r="Z74" s="216">
        <f>IF(INDEX($B$3:$O$102,72,9)="A",1,"")</f>
      </c>
      <c r="AA74" s="216">
        <f>IF(INDEX($B$3:$O$102,72,9)="B",1,"")</f>
      </c>
    </row>
    <row r="75" spans="1:27" s="224" customFormat="1" ht="12.75">
      <c r="A75" s="216">
        <v>73</v>
      </c>
      <c r="B75" s="217"/>
      <c r="C75" s="218"/>
      <c r="D75" s="219"/>
      <c r="E75" s="220"/>
      <c r="F75" s="221"/>
      <c r="G75" s="218"/>
      <c r="H75" s="218"/>
      <c r="I75" s="218"/>
      <c r="J75" s="222"/>
      <c r="K75" s="219"/>
      <c r="L75" s="219"/>
      <c r="M75" s="219"/>
      <c r="N75" s="219"/>
      <c r="O75" s="219"/>
      <c r="P75" s="226"/>
      <c r="Q75" s="230">
        <f>CONCATENATE(INDEX($B$3:$P$102,73,3),INDEX($B$3:$P$102,73,4))</f>
      </c>
      <c r="R75" s="216">
        <f t="shared" si="8"/>
      </c>
      <c r="S75" s="216">
        <f t="shared" si="9"/>
      </c>
      <c r="T75" s="216">
        <f t="shared" si="10"/>
      </c>
      <c r="U75" s="216">
        <f t="shared" si="11"/>
      </c>
      <c r="V75" s="216">
        <f t="shared" si="12"/>
      </c>
      <c r="W75" s="216">
        <f t="shared" si="13"/>
      </c>
      <c r="X75" s="216">
        <f t="shared" si="14"/>
      </c>
      <c r="Y75" s="216">
        <f t="shared" si="15"/>
      </c>
      <c r="Z75" s="216">
        <f>IF(INDEX($B$3:$O$102,73,9)="A",1,"")</f>
      </c>
      <c r="AA75" s="216">
        <f>IF(INDEX($B$3:$O$102,73,9)="B",1,"")</f>
      </c>
    </row>
    <row r="76" spans="1:27" s="224" customFormat="1" ht="12.75">
      <c r="A76" s="216">
        <v>74</v>
      </c>
      <c r="B76" s="217"/>
      <c r="C76" s="218"/>
      <c r="D76" s="219"/>
      <c r="E76" s="220"/>
      <c r="F76" s="221"/>
      <c r="G76" s="218"/>
      <c r="H76" s="218"/>
      <c r="I76" s="218"/>
      <c r="J76" s="222"/>
      <c r="K76" s="219"/>
      <c r="L76" s="219"/>
      <c r="M76" s="219"/>
      <c r="N76" s="219"/>
      <c r="O76" s="219"/>
      <c r="P76" s="226"/>
      <c r="Q76" s="230">
        <f>CONCATENATE(INDEX($B$3:$P$102,74,3),INDEX($B$3:$P$102,74,4))</f>
      </c>
      <c r="R76" s="216">
        <f t="shared" si="8"/>
      </c>
      <c r="S76" s="216">
        <f t="shared" si="9"/>
      </c>
      <c r="T76" s="216">
        <f t="shared" si="10"/>
      </c>
      <c r="U76" s="216">
        <f t="shared" si="11"/>
      </c>
      <c r="V76" s="216">
        <f t="shared" si="12"/>
      </c>
      <c r="W76" s="216">
        <f t="shared" si="13"/>
      </c>
      <c r="X76" s="216">
        <f t="shared" si="14"/>
      </c>
      <c r="Y76" s="216">
        <f t="shared" si="15"/>
      </c>
      <c r="Z76" s="216">
        <f>IF(INDEX($B$3:$O$102,74,9)="A",1,"")</f>
      </c>
      <c r="AA76" s="216">
        <f>IF(INDEX($B$3:$O$102,74,9)="B",1,"")</f>
      </c>
    </row>
    <row r="77" spans="1:27" s="224" customFormat="1" ht="12.75">
      <c r="A77" s="216">
        <v>75</v>
      </c>
      <c r="B77" s="217"/>
      <c r="C77" s="218"/>
      <c r="D77" s="219"/>
      <c r="E77" s="220"/>
      <c r="F77" s="221"/>
      <c r="G77" s="218"/>
      <c r="H77" s="218"/>
      <c r="I77" s="218"/>
      <c r="J77" s="222"/>
      <c r="K77" s="219"/>
      <c r="L77" s="219"/>
      <c r="M77" s="219"/>
      <c r="N77" s="219"/>
      <c r="O77" s="219"/>
      <c r="P77" s="226"/>
      <c r="Q77" s="230">
        <f>CONCATENATE(INDEX($B$3:$P$102,75,3),INDEX($B$3:$P$102,75,4))</f>
      </c>
      <c r="R77" s="216">
        <f t="shared" si="8"/>
      </c>
      <c r="S77" s="216">
        <f t="shared" si="9"/>
      </c>
      <c r="T77" s="216">
        <f t="shared" si="10"/>
      </c>
      <c r="U77" s="216">
        <f t="shared" si="11"/>
      </c>
      <c r="V77" s="216">
        <f t="shared" si="12"/>
      </c>
      <c r="W77" s="216">
        <f t="shared" si="13"/>
      </c>
      <c r="X77" s="216">
        <f t="shared" si="14"/>
      </c>
      <c r="Y77" s="216">
        <f t="shared" si="15"/>
      </c>
      <c r="Z77" s="216">
        <f>IF(INDEX($B$3:$O$102,75,9)="A",1,"")</f>
      </c>
      <c r="AA77" s="216">
        <f>IF(INDEX($B$3:$O$102,75,9)="B",1,"")</f>
      </c>
    </row>
    <row r="78" spans="1:27" s="224" customFormat="1" ht="12.75">
      <c r="A78" s="216">
        <v>76</v>
      </c>
      <c r="B78" s="217"/>
      <c r="C78" s="218"/>
      <c r="D78" s="219"/>
      <c r="E78" s="220"/>
      <c r="F78" s="221"/>
      <c r="G78" s="218"/>
      <c r="H78" s="218"/>
      <c r="I78" s="218"/>
      <c r="J78" s="222"/>
      <c r="K78" s="219"/>
      <c r="L78" s="219"/>
      <c r="M78" s="219"/>
      <c r="N78" s="219"/>
      <c r="O78" s="219"/>
      <c r="P78" s="226"/>
      <c r="Q78" s="230">
        <f>CONCATENATE(INDEX($B$3:$P$102,76,3),INDEX($B$3:$P$102,76,4))</f>
      </c>
      <c r="R78" s="216">
        <f t="shared" si="8"/>
      </c>
      <c r="S78" s="216">
        <f t="shared" si="9"/>
      </c>
      <c r="T78" s="216">
        <f t="shared" si="10"/>
      </c>
      <c r="U78" s="216">
        <f t="shared" si="11"/>
      </c>
      <c r="V78" s="216">
        <f t="shared" si="12"/>
      </c>
      <c r="W78" s="216">
        <f t="shared" si="13"/>
      </c>
      <c r="X78" s="216">
        <f t="shared" si="14"/>
      </c>
      <c r="Y78" s="216">
        <f t="shared" si="15"/>
      </c>
      <c r="Z78" s="216">
        <f>IF(INDEX($B$3:$O$102,76,9)="A",1,"")</f>
      </c>
      <c r="AA78" s="216">
        <f>IF(INDEX($B$3:$O$102,76,9)="B",1,"")</f>
      </c>
    </row>
    <row r="79" spans="1:27" s="224" customFormat="1" ht="12.75">
      <c r="A79" s="216">
        <v>77</v>
      </c>
      <c r="B79" s="217"/>
      <c r="C79" s="218"/>
      <c r="D79" s="219"/>
      <c r="E79" s="220"/>
      <c r="F79" s="221"/>
      <c r="G79" s="218"/>
      <c r="H79" s="218"/>
      <c r="I79" s="218"/>
      <c r="J79" s="222"/>
      <c r="K79" s="219"/>
      <c r="L79" s="219"/>
      <c r="M79" s="219"/>
      <c r="N79" s="219"/>
      <c r="O79" s="219"/>
      <c r="P79" s="226"/>
      <c r="Q79" s="230">
        <f>CONCATENATE(INDEX($B$3:$P$102,77,3),INDEX($B$3:$P$102,77,4))</f>
      </c>
      <c r="R79" s="216">
        <f t="shared" si="8"/>
      </c>
      <c r="S79" s="216">
        <f t="shared" si="9"/>
      </c>
      <c r="T79" s="216">
        <f t="shared" si="10"/>
      </c>
      <c r="U79" s="216">
        <f t="shared" si="11"/>
      </c>
      <c r="V79" s="216">
        <f t="shared" si="12"/>
      </c>
      <c r="W79" s="216">
        <f t="shared" si="13"/>
      </c>
      <c r="X79" s="216">
        <f t="shared" si="14"/>
      </c>
      <c r="Y79" s="216">
        <f t="shared" si="15"/>
      </c>
      <c r="Z79" s="216">
        <f>IF(INDEX($B$3:$O$102,77,9)="A",1,"")</f>
      </c>
      <c r="AA79" s="216">
        <f>IF(INDEX($B$3:$O$102,77,9)="B",1,"")</f>
      </c>
    </row>
    <row r="80" spans="1:27" s="224" customFormat="1" ht="12.75">
      <c r="A80" s="216">
        <v>78</v>
      </c>
      <c r="B80" s="217"/>
      <c r="C80" s="218"/>
      <c r="D80" s="219"/>
      <c r="E80" s="220"/>
      <c r="F80" s="221"/>
      <c r="G80" s="218"/>
      <c r="H80" s="218"/>
      <c r="I80" s="218"/>
      <c r="J80" s="222"/>
      <c r="K80" s="219"/>
      <c r="L80" s="219"/>
      <c r="M80" s="219"/>
      <c r="N80" s="219"/>
      <c r="O80" s="219"/>
      <c r="P80" s="226"/>
      <c r="Q80" s="230">
        <f>CONCATENATE(INDEX($B$3:$P$102,78,3),INDEX($B$3:$P$102,78,4))</f>
      </c>
      <c r="R80" s="216">
        <f t="shared" si="8"/>
      </c>
      <c r="S80" s="216">
        <f t="shared" si="9"/>
      </c>
      <c r="T80" s="216">
        <f t="shared" si="10"/>
      </c>
      <c r="U80" s="216">
        <f t="shared" si="11"/>
      </c>
      <c r="V80" s="216">
        <f t="shared" si="12"/>
      </c>
      <c r="W80" s="216">
        <f t="shared" si="13"/>
      </c>
      <c r="X80" s="216">
        <f t="shared" si="14"/>
      </c>
      <c r="Y80" s="216">
        <f t="shared" si="15"/>
      </c>
      <c r="Z80" s="216">
        <f>IF(INDEX($B$3:$O$102,78,9)="A",1,"")</f>
      </c>
      <c r="AA80" s="216">
        <f>IF(INDEX($B$3:$O$102,78,9)="B",1,"")</f>
      </c>
    </row>
    <row r="81" spans="1:27" s="224" customFormat="1" ht="12.75">
      <c r="A81" s="216">
        <v>79</v>
      </c>
      <c r="B81" s="217"/>
      <c r="C81" s="218"/>
      <c r="D81" s="219"/>
      <c r="E81" s="220"/>
      <c r="F81" s="221"/>
      <c r="G81" s="218"/>
      <c r="H81" s="218"/>
      <c r="I81" s="218"/>
      <c r="J81" s="222"/>
      <c r="K81" s="219"/>
      <c r="L81" s="219"/>
      <c r="M81" s="219"/>
      <c r="N81" s="219"/>
      <c r="O81" s="219"/>
      <c r="P81" s="226"/>
      <c r="Q81" s="230">
        <f>CONCATENATE(INDEX($B$3:$P$102,79,3),INDEX($B$3:$P$102,79,4))</f>
      </c>
      <c r="R81" s="216">
        <f t="shared" si="8"/>
      </c>
      <c r="S81" s="216">
        <f t="shared" si="9"/>
      </c>
      <c r="T81" s="216">
        <f t="shared" si="10"/>
      </c>
      <c r="U81" s="216">
        <f t="shared" si="11"/>
      </c>
      <c r="V81" s="216">
        <f t="shared" si="12"/>
      </c>
      <c r="W81" s="216">
        <f t="shared" si="13"/>
      </c>
      <c r="X81" s="216">
        <f t="shared" si="14"/>
      </c>
      <c r="Y81" s="216">
        <f t="shared" si="15"/>
      </c>
      <c r="Z81" s="216">
        <f>IF(INDEX($B$3:$O$102,79,9)="A",1,"")</f>
      </c>
      <c r="AA81" s="216">
        <f>IF(INDEX($B$3:$O$102,79,9)="B",1,"")</f>
      </c>
    </row>
    <row r="82" spans="1:27" s="224" customFormat="1" ht="12.75">
      <c r="A82" s="216">
        <v>80</v>
      </c>
      <c r="B82" s="217"/>
      <c r="C82" s="218"/>
      <c r="D82" s="219"/>
      <c r="E82" s="220"/>
      <c r="F82" s="221"/>
      <c r="G82" s="218"/>
      <c r="H82" s="218"/>
      <c r="I82" s="218"/>
      <c r="J82" s="222"/>
      <c r="K82" s="219"/>
      <c r="L82" s="219"/>
      <c r="M82" s="219"/>
      <c r="N82" s="219"/>
      <c r="O82" s="219"/>
      <c r="P82" s="226"/>
      <c r="Q82" s="230">
        <f>CONCATENATE(INDEX($B$3:$P$102,80,3),INDEX($B$3:$P$102,80,4))</f>
      </c>
      <c r="R82" s="216">
        <f t="shared" si="8"/>
      </c>
      <c r="S82" s="216">
        <f t="shared" si="9"/>
      </c>
      <c r="T82" s="216">
        <f t="shared" si="10"/>
      </c>
      <c r="U82" s="216">
        <f t="shared" si="11"/>
      </c>
      <c r="V82" s="216">
        <f t="shared" si="12"/>
      </c>
      <c r="W82" s="216">
        <f t="shared" si="13"/>
      </c>
      <c r="X82" s="216">
        <f t="shared" si="14"/>
      </c>
      <c r="Y82" s="216">
        <f t="shared" si="15"/>
      </c>
      <c r="Z82" s="216">
        <f>IF(INDEX($B$3:$O$102,80,9)="A",1,"")</f>
      </c>
      <c r="AA82" s="216">
        <f>IF(INDEX($B$3:$O$102,80,9)="B",1,"")</f>
      </c>
    </row>
    <row r="83" spans="1:27" s="224" customFormat="1" ht="12.75">
      <c r="A83" s="216">
        <v>81</v>
      </c>
      <c r="B83" s="217"/>
      <c r="C83" s="218"/>
      <c r="D83" s="219"/>
      <c r="E83" s="220"/>
      <c r="F83" s="221"/>
      <c r="G83" s="218"/>
      <c r="H83" s="218"/>
      <c r="I83" s="218"/>
      <c r="J83" s="222"/>
      <c r="K83" s="219"/>
      <c r="L83" s="219"/>
      <c r="M83" s="219"/>
      <c r="N83" s="219"/>
      <c r="O83" s="219"/>
      <c r="P83" s="226"/>
      <c r="Q83" s="230">
        <f>CONCATENATE(INDEX($B$3:$P$102,81,3),INDEX($B$3:$P$102,81,4))</f>
      </c>
      <c r="R83" s="216">
        <f t="shared" si="8"/>
      </c>
      <c r="S83" s="216">
        <f t="shared" si="9"/>
      </c>
      <c r="T83" s="216">
        <f t="shared" si="10"/>
      </c>
      <c r="U83" s="216">
        <f t="shared" si="11"/>
      </c>
      <c r="V83" s="216">
        <f t="shared" si="12"/>
      </c>
      <c r="W83" s="216">
        <f t="shared" si="13"/>
      </c>
      <c r="X83" s="216">
        <f t="shared" si="14"/>
      </c>
      <c r="Y83" s="216">
        <f t="shared" si="15"/>
      </c>
      <c r="Z83" s="216">
        <f>IF(INDEX($B$3:$O$102,81,9)="A",1,"")</f>
      </c>
      <c r="AA83" s="216">
        <f>IF(INDEX($B$3:$O$102,81,9)="B",1,"")</f>
      </c>
    </row>
    <row r="84" spans="1:27" s="224" customFormat="1" ht="12.75">
      <c r="A84" s="216">
        <v>82</v>
      </c>
      <c r="B84" s="217"/>
      <c r="C84" s="218"/>
      <c r="D84" s="219"/>
      <c r="E84" s="220"/>
      <c r="F84" s="221"/>
      <c r="G84" s="218"/>
      <c r="H84" s="218"/>
      <c r="I84" s="218"/>
      <c r="J84" s="222"/>
      <c r="K84" s="219"/>
      <c r="L84" s="219"/>
      <c r="M84" s="219"/>
      <c r="N84" s="219"/>
      <c r="O84" s="219"/>
      <c r="P84" s="226"/>
      <c r="Q84" s="230">
        <f>CONCATENATE(INDEX($B$3:$P$102,82,3),INDEX($B$3:$P$102,82,4))</f>
      </c>
      <c r="R84" s="216">
        <f t="shared" si="8"/>
      </c>
      <c r="S84" s="216">
        <f t="shared" si="9"/>
      </c>
      <c r="T84" s="216">
        <f t="shared" si="10"/>
      </c>
      <c r="U84" s="216">
        <f t="shared" si="11"/>
      </c>
      <c r="V84" s="216">
        <f t="shared" si="12"/>
      </c>
      <c r="W84" s="216">
        <f t="shared" si="13"/>
      </c>
      <c r="X84" s="216">
        <f t="shared" si="14"/>
      </c>
      <c r="Y84" s="216">
        <f t="shared" si="15"/>
      </c>
      <c r="Z84" s="216">
        <f>IF(INDEX($B$3:$O$102,82,9)="A",1,"")</f>
      </c>
      <c r="AA84" s="216">
        <f>IF(INDEX($B$3:$O$102,82,9)="B",1,"")</f>
      </c>
    </row>
    <row r="85" spans="1:27" s="224" customFormat="1" ht="12.75">
      <c r="A85" s="216">
        <v>83</v>
      </c>
      <c r="B85" s="217"/>
      <c r="C85" s="218"/>
      <c r="D85" s="219"/>
      <c r="E85" s="220"/>
      <c r="F85" s="221"/>
      <c r="G85" s="218"/>
      <c r="H85" s="218"/>
      <c r="I85" s="218"/>
      <c r="J85" s="222"/>
      <c r="K85" s="219"/>
      <c r="L85" s="219"/>
      <c r="M85" s="219"/>
      <c r="N85" s="219"/>
      <c r="O85" s="219"/>
      <c r="P85" s="226"/>
      <c r="Q85" s="230">
        <f>CONCATENATE(INDEX($B$3:$P$102,83,3),INDEX($B$3:$P$102,83,4))</f>
      </c>
      <c r="R85" s="216">
        <f t="shared" si="8"/>
      </c>
      <c r="S85" s="216">
        <f t="shared" si="9"/>
      </c>
      <c r="T85" s="216">
        <f t="shared" si="10"/>
      </c>
      <c r="U85" s="216">
        <f t="shared" si="11"/>
      </c>
      <c r="V85" s="216">
        <f t="shared" si="12"/>
      </c>
      <c r="W85" s="216">
        <f t="shared" si="13"/>
      </c>
      <c r="X85" s="216">
        <f t="shared" si="14"/>
      </c>
      <c r="Y85" s="216">
        <f t="shared" si="15"/>
      </c>
      <c r="Z85" s="216">
        <f>IF(INDEX($B$3:$O$102,83,9)="A",1,"")</f>
      </c>
      <c r="AA85" s="216">
        <f>IF(INDEX($B$3:$O$102,83,9)="B",1,"")</f>
      </c>
    </row>
    <row r="86" spans="1:27" s="224" customFormat="1" ht="12.75">
      <c r="A86" s="216">
        <v>84</v>
      </c>
      <c r="B86" s="217"/>
      <c r="C86" s="218"/>
      <c r="D86" s="219"/>
      <c r="E86" s="220"/>
      <c r="F86" s="221"/>
      <c r="G86" s="218"/>
      <c r="H86" s="218"/>
      <c r="I86" s="218"/>
      <c r="J86" s="222"/>
      <c r="K86" s="219"/>
      <c r="L86" s="219"/>
      <c r="M86" s="219"/>
      <c r="N86" s="219"/>
      <c r="O86" s="219"/>
      <c r="P86" s="226"/>
      <c r="Q86" s="230">
        <f>CONCATENATE(INDEX($B$3:$P$102,84,3),INDEX($B$3:$P$102,84,4))</f>
      </c>
      <c r="R86" s="216">
        <f t="shared" si="8"/>
      </c>
      <c r="S86" s="216">
        <f t="shared" si="9"/>
      </c>
      <c r="T86" s="216">
        <f t="shared" si="10"/>
      </c>
      <c r="U86" s="216">
        <f t="shared" si="11"/>
      </c>
      <c r="V86" s="216">
        <f t="shared" si="12"/>
      </c>
      <c r="W86" s="216">
        <f t="shared" si="13"/>
      </c>
      <c r="X86" s="216">
        <f t="shared" si="14"/>
      </c>
      <c r="Y86" s="216">
        <f t="shared" si="15"/>
      </c>
      <c r="Z86" s="216">
        <f>IF(INDEX($B$3:$O$102,84,9)="A",1,"")</f>
      </c>
      <c r="AA86" s="216">
        <f>IF(INDEX($B$3:$O$102,84,9)="B",1,"")</f>
      </c>
    </row>
    <row r="87" spans="1:27" s="224" customFormat="1" ht="12.75">
      <c r="A87" s="216">
        <v>85</v>
      </c>
      <c r="B87" s="217"/>
      <c r="C87" s="218"/>
      <c r="D87" s="219"/>
      <c r="E87" s="220"/>
      <c r="F87" s="221"/>
      <c r="G87" s="218"/>
      <c r="H87" s="218"/>
      <c r="I87" s="218"/>
      <c r="J87" s="222"/>
      <c r="K87" s="219"/>
      <c r="L87" s="219"/>
      <c r="M87" s="219"/>
      <c r="N87" s="219"/>
      <c r="O87" s="219"/>
      <c r="P87" s="226"/>
      <c r="Q87" s="230">
        <f>CONCATENATE(INDEX($B$3:$P$102,85,3),INDEX($B$3:$P$102,85,4))</f>
      </c>
      <c r="R87" s="216">
        <f t="shared" si="8"/>
      </c>
      <c r="S87" s="216">
        <f t="shared" si="9"/>
      </c>
      <c r="T87" s="216">
        <f t="shared" si="10"/>
      </c>
      <c r="U87" s="216">
        <f t="shared" si="11"/>
      </c>
      <c r="V87" s="216">
        <f t="shared" si="12"/>
      </c>
      <c r="W87" s="216">
        <f t="shared" si="13"/>
      </c>
      <c r="X87" s="216">
        <f t="shared" si="14"/>
      </c>
      <c r="Y87" s="216">
        <f t="shared" si="15"/>
      </c>
      <c r="Z87" s="216">
        <f>IF(INDEX($B$3:$O$102,85,9)="A",1,"")</f>
      </c>
      <c r="AA87" s="216">
        <f>IF(INDEX($B$3:$O$102,85,9)="B",1,"")</f>
      </c>
    </row>
    <row r="88" spans="1:27" s="224" customFormat="1" ht="12.75">
      <c r="A88" s="216">
        <v>86</v>
      </c>
      <c r="B88" s="217"/>
      <c r="C88" s="218"/>
      <c r="D88" s="219"/>
      <c r="E88" s="220"/>
      <c r="F88" s="221"/>
      <c r="G88" s="218"/>
      <c r="H88" s="218"/>
      <c r="I88" s="218"/>
      <c r="J88" s="222"/>
      <c r="K88" s="219"/>
      <c r="L88" s="219"/>
      <c r="M88" s="219"/>
      <c r="N88" s="219"/>
      <c r="O88" s="219"/>
      <c r="P88" s="226"/>
      <c r="Q88" s="230">
        <f>CONCATENATE(INDEX($B$3:$P$102,86,3),INDEX($B$3:$P$102,86,4))</f>
      </c>
      <c r="R88" s="216">
        <f t="shared" si="8"/>
      </c>
      <c r="S88" s="216">
        <f t="shared" si="9"/>
      </c>
      <c r="T88" s="216">
        <f t="shared" si="10"/>
      </c>
      <c r="U88" s="216">
        <f t="shared" si="11"/>
      </c>
      <c r="V88" s="216">
        <f t="shared" si="12"/>
      </c>
      <c r="W88" s="216">
        <f t="shared" si="13"/>
      </c>
      <c r="X88" s="216">
        <f t="shared" si="14"/>
      </c>
      <c r="Y88" s="216">
        <f t="shared" si="15"/>
      </c>
      <c r="Z88" s="216">
        <f>IF(INDEX($B$3:$O$102,86,9)="A",1,"")</f>
      </c>
      <c r="AA88" s="216">
        <f>IF(INDEX($B$3:$O$102,86,9)="B",1,"")</f>
      </c>
    </row>
    <row r="89" spans="1:27" s="224" customFormat="1" ht="12.75">
      <c r="A89" s="216">
        <v>87</v>
      </c>
      <c r="B89" s="217"/>
      <c r="C89" s="218"/>
      <c r="D89" s="219"/>
      <c r="E89" s="220"/>
      <c r="F89" s="221"/>
      <c r="G89" s="218"/>
      <c r="H89" s="218"/>
      <c r="I89" s="218"/>
      <c r="J89" s="222"/>
      <c r="K89" s="219"/>
      <c r="L89" s="219"/>
      <c r="M89" s="219"/>
      <c r="N89" s="219"/>
      <c r="O89" s="219"/>
      <c r="P89" s="226"/>
      <c r="Q89" s="230">
        <f>CONCATENATE(INDEX($B$3:$P$102,87,3),INDEX($B$3:$P$102,87,4))</f>
      </c>
      <c r="R89" s="216">
        <f t="shared" si="8"/>
      </c>
      <c r="S89" s="216">
        <f t="shared" si="9"/>
      </c>
      <c r="T89" s="216">
        <f t="shared" si="10"/>
      </c>
      <c r="U89" s="216">
        <f t="shared" si="11"/>
      </c>
      <c r="V89" s="216">
        <f t="shared" si="12"/>
      </c>
      <c r="W89" s="216">
        <f t="shared" si="13"/>
      </c>
      <c r="X89" s="216">
        <f t="shared" si="14"/>
      </c>
      <c r="Y89" s="216">
        <f t="shared" si="15"/>
      </c>
      <c r="Z89" s="216">
        <f>IF(INDEX($B$3:$O$102,87,9)="A",1,"")</f>
      </c>
      <c r="AA89" s="216">
        <f>IF(INDEX($B$3:$O$102,87,9)="B",1,"")</f>
      </c>
    </row>
    <row r="90" spans="1:27" s="224" customFormat="1" ht="12.75">
      <c r="A90" s="216">
        <v>88</v>
      </c>
      <c r="B90" s="217"/>
      <c r="C90" s="218"/>
      <c r="D90" s="219"/>
      <c r="E90" s="220"/>
      <c r="F90" s="221"/>
      <c r="G90" s="218"/>
      <c r="H90" s="218"/>
      <c r="I90" s="218"/>
      <c r="J90" s="222"/>
      <c r="K90" s="219"/>
      <c r="L90" s="219"/>
      <c r="M90" s="219"/>
      <c r="N90" s="219"/>
      <c r="O90" s="219"/>
      <c r="P90" s="226"/>
      <c r="Q90" s="230">
        <f>CONCATENATE(INDEX($B$3:$P$102,88,3),INDEX($B$3:$P$102,88,4))</f>
      </c>
      <c r="R90" s="216">
        <f t="shared" si="8"/>
      </c>
      <c r="S90" s="216">
        <f t="shared" si="9"/>
      </c>
      <c r="T90" s="216">
        <f t="shared" si="10"/>
      </c>
      <c r="U90" s="216">
        <f t="shared" si="11"/>
      </c>
      <c r="V90" s="216">
        <f t="shared" si="12"/>
      </c>
      <c r="W90" s="216">
        <f t="shared" si="13"/>
      </c>
      <c r="X90" s="216">
        <f t="shared" si="14"/>
      </c>
      <c r="Y90" s="216">
        <f t="shared" si="15"/>
      </c>
      <c r="Z90" s="216">
        <f>IF(INDEX($B$3:$O$102,88,9)="A",1,"")</f>
      </c>
      <c r="AA90" s="216">
        <f>IF(INDEX($B$3:$O$102,88,9)="B",1,"")</f>
      </c>
    </row>
    <row r="91" spans="1:27" s="224" customFormat="1" ht="12.75">
      <c r="A91" s="216">
        <v>89</v>
      </c>
      <c r="B91" s="217"/>
      <c r="C91" s="218"/>
      <c r="D91" s="219"/>
      <c r="E91" s="220"/>
      <c r="F91" s="221"/>
      <c r="G91" s="218"/>
      <c r="H91" s="218"/>
      <c r="I91" s="218"/>
      <c r="J91" s="222"/>
      <c r="K91" s="219"/>
      <c r="L91" s="219"/>
      <c r="M91" s="219"/>
      <c r="N91" s="219"/>
      <c r="O91" s="219"/>
      <c r="P91" s="226"/>
      <c r="Q91" s="230">
        <f>CONCATENATE(INDEX($B$3:$P$102,89,3),INDEX($B$3:$P$102,89,4))</f>
      </c>
      <c r="R91" s="216">
        <f t="shared" si="8"/>
      </c>
      <c r="S91" s="216">
        <f t="shared" si="9"/>
      </c>
      <c r="T91" s="216">
        <f t="shared" si="10"/>
      </c>
      <c r="U91" s="216">
        <f t="shared" si="11"/>
      </c>
      <c r="V91" s="216">
        <f t="shared" si="12"/>
      </c>
      <c r="W91" s="216">
        <f t="shared" si="13"/>
      </c>
      <c r="X91" s="216">
        <f t="shared" si="14"/>
      </c>
      <c r="Y91" s="216">
        <f t="shared" si="15"/>
      </c>
      <c r="Z91" s="216">
        <f>IF(INDEX($B$3:$O$102,89,9)="A",1,"")</f>
      </c>
      <c r="AA91" s="216">
        <f>IF(INDEX($B$3:$O$102,89,9)="B",1,"")</f>
      </c>
    </row>
    <row r="92" spans="1:27" s="224" customFormat="1" ht="12.75">
      <c r="A92" s="216">
        <v>90</v>
      </c>
      <c r="B92" s="217"/>
      <c r="C92" s="218"/>
      <c r="D92" s="219"/>
      <c r="E92" s="220"/>
      <c r="F92" s="221"/>
      <c r="G92" s="218"/>
      <c r="H92" s="218"/>
      <c r="I92" s="218"/>
      <c r="J92" s="222"/>
      <c r="K92" s="219"/>
      <c r="L92" s="219"/>
      <c r="M92" s="219"/>
      <c r="N92" s="219"/>
      <c r="O92" s="219"/>
      <c r="P92" s="226"/>
      <c r="Q92" s="230">
        <f>CONCATENATE(INDEX($B$3:$P$102,90,3),INDEX($B$3:$P$102,90,4))</f>
      </c>
      <c r="R92" s="216">
        <f t="shared" si="8"/>
      </c>
      <c r="S92" s="216">
        <f t="shared" si="9"/>
      </c>
      <c r="T92" s="216">
        <f t="shared" si="10"/>
      </c>
      <c r="U92" s="216">
        <f t="shared" si="11"/>
      </c>
      <c r="V92" s="216">
        <f t="shared" si="12"/>
      </c>
      <c r="W92" s="216">
        <f t="shared" si="13"/>
      </c>
      <c r="X92" s="216">
        <f t="shared" si="14"/>
      </c>
      <c r="Y92" s="216">
        <f t="shared" si="15"/>
      </c>
      <c r="Z92" s="216">
        <f>IF(INDEX($B$3:$O$102,90,9)="A",1,"")</f>
      </c>
      <c r="AA92" s="216">
        <f>IF(INDEX($B$3:$O$102,90,9)="B",1,"")</f>
      </c>
    </row>
    <row r="93" spans="1:27" s="224" customFormat="1" ht="12.75">
      <c r="A93" s="216">
        <v>91</v>
      </c>
      <c r="B93" s="217"/>
      <c r="C93" s="218"/>
      <c r="D93" s="219"/>
      <c r="E93" s="220"/>
      <c r="F93" s="221"/>
      <c r="G93" s="218"/>
      <c r="H93" s="218"/>
      <c r="I93" s="218"/>
      <c r="J93" s="222"/>
      <c r="K93" s="219"/>
      <c r="L93" s="219"/>
      <c r="M93" s="219"/>
      <c r="N93" s="219"/>
      <c r="O93" s="219"/>
      <c r="P93" s="226"/>
      <c r="Q93" s="230">
        <f>CONCATENATE(INDEX($B$3:$P$102,91,3),INDEX($B$3:$P$102,91,4))</f>
      </c>
      <c r="R93" s="216">
        <f t="shared" si="8"/>
      </c>
      <c r="S93" s="216">
        <f t="shared" si="9"/>
      </c>
      <c r="T93" s="216">
        <f t="shared" si="10"/>
      </c>
      <c r="U93" s="216">
        <f t="shared" si="11"/>
      </c>
      <c r="V93" s="216">
        <f t="shared" si="12"/>
      </c>
      <c r="W93" s="216">
        <f t="shared" si="13"/>
      </c>
      <c r="X93" s="216">
        <f t="shared" si="14"/>
      </c>
      <c r="Y93" s="216">
        <f t="shared" si="15"/>
      </c>
      <c r="Z93" s="216">
        <f>IF(INDEX($B$3:$O$102,91,9)="A",1,"")</f>
      </c>
      <c r="AA93" s="216">
        <f>IF(INDEX($B$3:$O$102,91,9)="B",1,"")</f>
      </c>
    </row>
    <row r="94" spans="1:27" s="224" customFormat="1" ht="12.75">
      <c r="A94" s="216">
        <v>92</v>
      </c>
      <c r="B94" s="217"/>
      <c r="C94" s="218"/>
      <c r="D94" s="219"/>
      <c r="E94" s="220"/>
      <c r="F94" s="221"/>
      <c r="G94" s="218"/>
      <c r="H94" s="218"/>
      <c r="I94" s="218"/>
      <c r="J94" s="222"/>
      <c r="K94" s="219"/>
      <c r="L94" s="219"/>
      <c r="M94" s="219"/>
      <c r="N94" s="219"/>
      <c r="O94" s="219"/>
      <c r="P94" s="226"/>
      <c r="Q94" s="230">
        <f>CONCATENATE(INDEX($B$3:$P$102,92,3),INDEX($B$3:$P$102,92,4))</f>
      </c>
      <c r="R94" s="216">
        <f t="shared" si="8"/>
      </c>
      <c r="S94" s="216">
        <f t="shared" si="9"/>
      </c>
      <c r="T94" s="216">
        <f t="shared" si="10"/>
      </c>
      <c r="U94" s="216">
        <f t="shared" si="11"/>
      </c>
      <c r="V94" s="216">
        <f t="shared" si="12"/>
      </c>
      <c r="W94" s="216">
        <f t="shared" si="13"/>
      </c>
      <c r="X94" s="216">
        <f t="shared" si="14"/>
      </c>
      <c r="Y94" s="216">
        <f t="shared" si="15"/>
      </c>
      <c r="Z94" s="216">
        <f>IF(INDEX($B$3:$O$102,92,9)="A",1,"")</f>
      </c>
      <c r="AA94" s="216">
        <f>IF(INDEX($B$3:$O$102,92,9)="B",1,"")</f>
      </c>
    </row>
    <row r="95" spans="1:27" s="224" customFormat="1" ht="12.75">
      <c r="A95" s="216">
        <v>93</v>
      </c>
      <c r="B95" s="217"/>
      <c r="C95" s="218"/>
      <c r="D95" s="219"/>
      <c r="E95" s="220"/>
      <c r="F95" s="221"/>
      <c r="G95" s="218"/>
      <c r="H95" s="218"/>
      <c r="I95" s="218"/>
      <c r="J95" s="222"/>
      <c r="K95" s="219"/>
      <c r="L95" s="219"/>
      <c r="M95" s="219"/>
      <c r="N95" s="219"/>
      <c r="O95" s="219"/>
      <c r="P95" s="226"/>
      <c r="Q95" s="230">
        <f>CONCATENATE(INDEX($B$3:$P$102,93,3),INDEX($B$3:$P$102,93,4))</f>
      </c>
      <c r="R95" s="216">
        <f t="shared" si="8"/>
      </c>
      <c r="S95" s="216">
        <f t="shared" si="9"/>
      </c>
      <c r="T95" s="216">
        <f t="shared" si="10"/>
      </c>
      <c r="U95" s="216">
        <f t="shared" si="11"/>
      </c>
      <c r="V95" s="216">
        <f t="shared" si="12"/>
      </c>
      <c r="W95" s="216">
        <f t="shared" si="13"/>
      </c>
      <c r="X95" s="216">
        <f t="shared" si="14"/>
      </c>
      <c r="Y95" s="216">
        <f t="shared" si="15"/>
      </c>
      <c r="Z95" s="216">
        <f>IF(INDEX($B$3:$O$102,93,9)="A",1,"")</f>
      </c>
      <c r="AA95" s="216">
        <f>IF(INDEX($B$3:$O$102,93,9)="B",1,"")</f>
      </c>
    </row>
    <row r="96" spans="1:27" s="224" customFormat="1" ht="12.75">
      <c r="A96" s="216">
        <v>94</v>
      </c>
      <c r="B96" s="217"/>
      <c r="C96" s="218"/>
      <c r="D96" s="219"/>
      <c r="E96" s="220"/>
      <c r="F96" s="221"/>
      <c r="G96" s="218"/>
      <c r="H96" s="218"/>
      <c r="I96" s="218"/>
      <c r="J96" s="222"/>
      <c r="K96" s="219"/>
      <c r="L96" s="219"/>
      <c r="M96" s="219"/>
      <c r="N96" s="219"/>
      <c r="O96" s="219"/>
      <c r="P96" s="226"/>
      <c r="Q96" s="230">
        <f>CONCATENATE(INDEX($B$3:$P$102,94,3),INDEX($B$3:$P$102,94,4))</f>
      </c>
      <c r="R96" s="216">
        <f t="shared" si="8"/>
      </c>
      <c r="S96" s="216">
        <f t="shared" si="9"/>
      </c>
      <c r="T96" s="216">
        <f t="shared" si="10"/>
      </c>
      <c r="U96" s="216">
        <f t="shared" si="11"/>
      </c>
      <c r="V96" s="216">
        <f t="shared" si="12"/>
      </c>
      <c r="W96" s="216">
        <f t="shared" si="13"/>
      </c>
      <c r="X96" s="216">
        <f t="shared" si="14"/>
      </c>
      <c r="Y96" s="216">
        <f t="shared" si="15"/>
      </c>
      <c r="Z96" s="216">
        <f>IF(INDEX($B$3:$O$102,94,9)="A",1,"")</f>
      </c>
      <c r="AA96" s="216">
        <f>IF(INDEX($B$3:$O$102,94,9)="B",1,"")</f>
      </c>
    </row>
    <row r="97" spans="1:27" s="224" customFormat="1" ht="12.75">
      <c r="A97" s="216">
        <v>95</v>
      </c>
      <c r="B97" s="217"/>
      <c r="C97" s="218"/>
      <c r="D97" s="219"/>
      <c r="E97" s="220"/>
      <c r="F97" s="221"/>
      <c r="G97" s="218"/>
      <c r="H97" s="218"/>
      <c r="I97" s="218"/>
      <c r="J97" s="222"/>
      <c r="K97" s="219"/>
      <c r="L97" s="219"/>
      <c r="M97" s="219"/>
      <c r="N97" s="219"/>
      <c r="O97" s="219"/>
      <c r="P97" s="226"/>
      <c r="Q97" s="230">
        <f>CONCATENATE(INDEX($B$3:$P$102,95,3),INDEX($B$3:$P$102,95,4))</f>
      </c>
      <c r="R97" s="216">
        <f t="shared" si="8"/>
      </c>
      <c r="S97" s="216">
        <f t="shared" si="9"/>
      </c>
      <c r="T97" s="216">
        <f t="shared" si="10"/>
      </c>
      <c r="U97" s="216">
        <f t="shared" si="11"/>
      </c>
      <c r="V97" s="216">
        <f t="shared" si="12"/>
      </c>
      <c r="W97" s="216">
        <f t="shared" si="13"/>
      </c>
      <c r="X97" s="216">
        <f t="shared" si="14"/>
      </c>
      <c r="Y97" s="216">
        <f t="shared" si="15"/>
      </c>
      <c r="Z97" s="216">
        <f>IF(INDEX($B$3:$O$102,95,9)="A",1,"")</f>
      </c>
      <c r="AA97" s="216">
        <f>IF(INDEX($B$3:$O$102,95,9)="B",1,"")</f>
      </c>
    </row>
    <row r="98" spans="1:27" s="224" customFormat="1" ht="12.75">
      <c r="A98" s="216">
        <v>96</v>
      </c>
      <c r="B98" s="217"/>
      <c r="C98" s="218"/>
      <c r="D98" s="219"/>
      <c r="E98" s="220"/>
      <c r="F98" s="221"/>
      <c r="G98" s="218"/>
      <c r="H98" s="218"/>
      <c r="I98" s="218"/>
      <c r="J98" s="222"/>
      <c r="K98" s="219"/>
      <c r="L98" s="219"/>
      <c r="M98" s="219"/>
      <c r="N98" s="219"/>
      <c r="O98" s="219"/>
      <c r="P98" s="226"/>
      <c r="Q98" s="230">
        <f>CONCATENATE(INDEX($B$3:$P$102,96,3),INDEX($B$3:$P$102,96,4))</f>
      </c>
      <c r="R98" s="216">
        <f t="shared" si="8"/>
      </c>
      <c r="S98" s="216">
        <f t="shared" si="9"/>
      </c>
      <c r="T98" s="216">
        <f t="shared" si="10"/>
      </c>
      <c r="U98" s="216">
        <f t="shared" si="11"/>
      </c>
      <c r="V98" s="216">
        <f t="shared" si="12"/>
      </c>
      <c r="W98" s="216">
        <f t="shared" si="13"/>
      </c>
      <c r="X98" s="216">
        <f t="shared" si="14"/>
      </c>
      <c r="Y98" s="216">
        <f t="shared" si="15"/>
      </c>
      <c r="Z98" s="216">
        <f>IF(INDEX($B$3:$O$102,96,9)="A",1,"")</f>
      </c>
      <c r="AA98" s="216">
        <f>IF(INDEX($B$3:$O$102,96,9)="B",1,"")</f>
      </c>
    </row>
    <row r="99" spans="1:27" s="224" customFormat="1" ht="12.75">
      <c r="A99" s="216">
        <v>97</v>
      </c>
      <c r="B99" s="217"/>
      <c r="C99" s="218"/>
      <c r="D99" s="219"/>
      <c r="E99" s="220"/>
      <c r="F99" s="221"/>
      <c r="G99" s="218"/>
      <c r="H99" s="218"/>
      <c r="I99" s="218"/>
      <c r="J99" s="222"/>
      <c r="K99" s="219"/>
      <c r="L99" s="219"/>
      <c r="M99" s="219"/>
      <c r="N99" s="219"/>
      <c r="O99" s="219"/>
      <c r="P99" s="226"/>
      <c r="Q99" s="230">
        <f>CONCATENATE(INDEX($B$3:$P$102,97,3),INDEX($B$3:$P$102,97,4))</f>
      </c>
      <c r="R99" s="216">
        <f t="shared" si="8"/>
      </c>
      <c r="S99" s="216">
        <f t="shared" si="9"/>
      </c>
      <c r="T99" s="216">
        <f t="shared" si="10"/>
      </c>
      <c r="U99" s="216">
        <f t="shared" si="11"/>
      </c>
      <c r="V99" s="216">
        <f t="shared" si="12"/>
      </c>
      <c r="W99" s="216">
        <f t="shared" si="13"/>
      </c>
      <c r="X99" s="216">
        <f t="shared" si="14"/>
      </c>
      <c r="Y99" s="216">
        <f t="shared" si="15"/>
      </c>
      <c r="Z99" s="216">
        <f>IF(INDEX($B$3:$O$102,97,9)="A",1,"")</f>
      </c>
      <c r="AA99" s="216">
        <f>IF(INDEX($B$3:$O$102,97,9)="B",1,"")</f>
      </c>
    </row>
    <row r="100" spans="1:27" s="224" customFormat="1" ht="12.75">
      <c r="A100" s="216">
        <v>98</v>
      </c>
      <c r="B100" s="217"/>
      <c r="C100" s="218"/>
      <c r="D100" s="219"/>
      <c r="E100" s="220"/>
      <c r="F100" s="221"/>
      <c r="G100" s="218"/>
      <c r="H100" s="218"/>
      <c r="I100" s="218"/>
      <c r="J100" s="222"/>
      <c r="K100" s="219"/>
      <c r="L100" s="219"/>
      <c r="M100" s="219"/>
      <c r="N100" s="219"/>
      <c r="O100" s="219"/>
      <c r="P100" s="226"/>
      <c r="Q100" s="230">
        <f>CONCATENATE(INDEX($B$3:$P$102,98,3),INDEX($B$3:$P$102,98,4))</f>
      </c>
      <c r="R100" s="216">
        <f t="shared" si="8"/>
      </c>
      <c r="S100" s="216">
        <f t="shared" si="9"/>
      </c>
      <c r="T100" s="216">
        <f t="shared" si="10"/>
      </c>
      <c r="U100" s="216">
        <f t="shared" si="11"/>
      </c>
      <c r="V100" s="216">
        <f t="shared" si="12"/>
      </c>
      <c r="W100" s="216">
        <f t="shared" si="13"/>
      </c>
      <c r="X100" s="216">
        <f t="shared" si="14"/>
      </c>
      <c r="Y100" s="216">
        <f t="shared" si="15"/>
      </c>
      <c r="Z100" s="216">
        <f>IF(INDEX($B$3:$O$102,98,9)="A",1,"")</f>
      </c>
      <c r="AA100" s="216">
        <f>IF(INDEX($B$3:$O$102,98,9)="B",1,"")</f>
      </c>
    </row>
    <row r="101" spans="1:27" s="224" customFormat="1" ht="12.75">
      <c r="A101" s="216">
        <v>99</v>
      </c>
      <c r="B101" s="217"/>
      <c r="C101" s="218"/>
      <c r="D101" s="219"/>
      <c r="E101" s="220"/>
      <c r="F101" s="221"/>
      <c r="G101" s="218"/>
      <c r="H101" s="218"/>
      <c r="I101" s="218"/>
      <c r="J101" s="222"/>
      <c r="K101" s="219"/>
      <c r="L101" s="219"/>
      <c r="M101" s="219"/>
      <c r="N101" s="219"/>
      <c r="O101" s="219"/>
      <c r="P101" s="226"/>
      <c r="Q101" s="230">
        <f>CONCATENATE(INDEX($B$3:$P$102,99,3),INDEX($B$3:$P$102,99,4))</f>
      </c>
      <c r="R101" s="216">
        <f t="shared" si="8"/>
      </c>
      <c r="S101" s="216">
        <f t="shared" si="9"/>
      </c>
      <c r="T101" s="216">
        <f t="shared" si="10"/>
      </c>
      <c r="U101" s="216">
        <f t="shared" si="11"/>
      </c>
      <c r="V101" s="216">
        <f t="shared" si="12"/>
      </c>
      <c r="W101" s="216">
        <f t="shared" si="13"/>
      </c>
      <c r="X101" s="216">
        <f t="shared" si="14"/>
      </c>
      <c r="Y101" s="216">
        <f t="shared" si="15"/>
      </c>
      <c r="Z101" s="216">
        <f>IF(INDEX($B$3:$O$102,99,9)="A",1,"")</f>
      </c>
      <c r="AA101" s="216">
        <f>IF(INDEX($B$3:$O$102,99,9)="B",1,"")</f>
      </c>
    </row>
    <row r="102" spans="1:27" s="224" customFormat="1" ht="12.75">
      <c r="A102" s="216">
        <v>100</v>
      </c>
      <c r="B102" s="217"/>
      <c r="C102" s="218"/>
      <c r="D102" s="219"/>
      <c r="E102" s="220"/>
      <c r="F102" s="221"/>
      <c r="G102" s="218"/>
      <c r="H102" s="218"/>
      <c r="I102" s="218"/>
      <c r="J102" s="222"/>
      <c r="K102" s="219"/>
      <c r="L102" s="219"/>
      <c r="M102" s="219"/>
      <c r="N102" s="219"/>
      <c r="O102" s="219"/>
      <c r="P102" s="226"/>
      <c r="Q102" s="230">
        <f>CONCATENATE(INDEX($B$3:$P$102,100,3),INDEX($B$3:$P$102,100,4))</f>
      </c>
      <c r="R102" s="216">
        <f t="shared" si="8"/>
      </c>
      <c r="S102" s="216">
        <f t="shared" si="9"/>
      </c>
      <c r="T102" s="216">
        <f t="shared" si="10"/>
      </c>
      <c r="U102" s="216">
        <f t="shared" si="11"/>
      </c>
      <c r="V102" s="216">
        <f t="shared" si="12"/>
      </c>
      <c r="W102" s="216">
        <f t="shared" si="13"/>
      </c>
      <c r="X102" s="216">
        <f t="shared" si="14"/>
      </c>
      <c r="Y102" s="216">
        <f t="shared" si="15"/>
      </c>
      <c r="Z102" s="216">
        <f>IF(INDEX($B$3:$O$102,100,9)="A",1,"")</f>
      </c>
      <c r="AA102" s="216">
        <f>IF(INDEX($B$3:$O$102,100,9)="B",1,"")</f>
      </c>
    </row>
  </sheetData>
  <sheetProtection formatColumns="0" formatRows="0" selectLockedCells="1" sort="0" autoFilter="0"/>
  <autoFilter ref="A1:O102"/>
  <dataValidations count="6">
    <dataValidation allowBlank="1" showInputMessage="1" showErrorMessage="1" imeMode="hiragana" sqref="P1:Q65536 M3:N102 K3:K102"/>
    <dataValidation allowBlank="1" showInputMessage="1" showErrorMessage="1" imeMode="halfKatakana" sqref="L1:L65536 C1:C65536 G3:G102 I3:I102"/>
    <dataValidation type="list" allowBlank="1" showInputMessage="1" showErrorMessage="1" error="「男」「女」のどちらかを入力ください。" sqref="D3:D102">
      <formula1>"男,女"</formula1>
    </dataValidation>
    <dataValidation type="list" allowBlank="1" showInputMessage="1" showErrorMessage="1" sqref="E3:E102">
      <formula1>"4,5,6,引"</formula1>
    </dataValidation>
    <dataValidation type="list" allowBlank="1" showInputMessage="1" showErrorMessage="1" imeMode="hiragana" sqref="O1:O65536">
      <formula1>"有"</formula1>
    </dataValidation>
    <dataValidation type="list" allowBlank="1" showInputMessage="1" showErrorMessage="1" error="「A」「B」「無」「済」のどれかを入力ください。" sqref="J3:J102">
      <formula1>"住職,本山,済,無"</formula1>
    </dataValidation>
  </dataValidations>
  <printOptions/>
  <pageMargins left="0.21" right="0.2" top="0.69" bottom="0.51" header="0.32" footer="0.35"/>
  <pageSetup horizontalDpi="600" verticalDpi="600" orientation="landscape" paperSize="8" scale="90" r:id="rId3"/>
  <legacyDrawing r:id="rId2"/>
</worksheet>
</file>

<file path=xl/worksheets/sheet2.xml><?xml version="1.0" encoding="utf-8"?>
<worksheet xmlns="http://schemas.openxmlformats.org/spreadsheetml/2006/main" xmlns:r="http://schemas.openxmlformats.org/officeDocument/2006/relationships">
  <dimension ref="A1:FV53"/>
  <sheetViews>
    <sheetView zoomScalePageLayoutView="0" workbookViewId="0" topLeftCell="A1">
      <selection activeCell="E7" sqref="E7"/>
    </sheetView>
  </sheetViews>
  <sheetFormatPr defaultColWidth="9.00390625" defaultRowHeight="13.5"/>
  <cols>
    <col min="1" max="10" width="13.625" style="14" customWidth="1"/>
    <col min="11" max="11" width="6.875" style="14" customWidth="1"/>
    <col min="12" max="12" width="4.625" style="14" customWidth="1"/>
    <col min="13" max="16" width="9.00390625" style="14" customWidth="1"/>
    <col min="17" max="17" width="4.625" style="14" customWidth="1"/>
    <col min="18" max="19" width="3.625" style="14" bestFit="1" customWidth="1"/>
    <col min="20" max="20" width="6.50390625" style="14" customWidth="1"/>
    <col min="21" max="21" width="7.25390625" style="14" customWidth="1"/>
    <col min="22" max="22" width="6.75390625" style="14" customWidth="1"/>
    <col min="23" max="23" width="25.125" style="14" customWidth="1"/>
    <col min="24" max="25" width="11.25390625" style="14" bestFit="1" customWidth="1"/>
    <col min="26" max="26" width="9.00390625" style="14" customWidth="1"/>
    <col min="27" max="27" width="29.75390625" style="14" customWidth="1"/>
    <col min="28" max="28" width="9.00390625" style="14" customWidth="1"/>
    <col min="29" max="29" width="31.125" style="14" customWidth="1"/>
    <col min="30" max="30" width="19.00390625" style="14" customWidth="1"/>
    <col min="31" max="31" width="11.75390625" style="14" customWidth="1"/>
    <col min="32" max="32" width="48.00390625" style="14" customWidth="1"/>
    <col min="33" max="16384" width="9.00390625" style="14" customWidth="1"/>
  </cols>
  <sheetData>
    <row r="1" spans="1:12" ht="18.75">
      <c r="A1" s="49" t="s">
        <v>64</v>
      </c>
      <c r="B1" s="49"/>
      <c r="C1" s="49"/>
      <c r="D1" s="49"/>
      <c r="E1" s="49"/>
      <c r="F1" s="49"/>
      <c r="G1" s="49"/>
      <c r="H1" s="50"/>
      <c r="I1" s="50"/>
      <c r="J1" s="50"/>
      <c r="K1" s="50"/>
      <c r="L1" s="50"/>
    </row>
    <row r="2" spans="1:14" s="51" customFormat="1" ht="12" customHeight="1">
      <c r="A2" s="258" t="s">
        <v>47</v>
      </c>
      <c r="B2" s="258" t="s">
        <v>48</v>
      </c>
      <c r="C2" s="259" t="s">
        <v>49</v>
      </c>
      <c r="D2" s="259" t="s">
        <v>50</v>
      </c>
      <c r="E2" s="253" t="s">
        <v>51</v>
      </c>
      <c r="F2" s="254" t="s">
        <v>116</v>
      </c>
      <c r="G2" s="255"/>
      <c r="H2" s="255"/>
      <c r="I2" s="255"/>
      <c r="J2" s="256"/>
      <c r="K2" s="107"/>
      <c r="L2" s="108"/>
      <c r="M2" s="108"/>
      <c r="N2" s="108"/>
    </row>
    <row r="3" spans="1:178" s="52" customFormat="1" ht="12" customHeight="1">
      <c r="A3" s="258"/>
      <c r="B3" s="258"/>
      <c r="C3" s="259"/>
      <c r="D3" s="259"/>
      <c r="E3" s="253"/>
      <c r="F3" s="104" t="s">
        <v>140</v>
      </c>
      <c r="G3" s="104" t="s">
        <v>141</v>
      </c>
      <c r="H3" s="104" t="s">
        <v>142</v>
      </c>
      <c r="I3" s="104" t="s">
        <v>143</v>
      </c>
      <c r="J3" s="104" t="s">
        <v>65</v>
      </c>
      <c r="K3" s="107"/>
      <c r="L3" s="108"/>
      <c r="M3" s="108"/>
      <c r="N3" s="108"/>
      <c r="X3" s="53"/>
      <c r="Y3" s="53"/>
      <c r="Z3" s="53"/>
      <c r="AA3" s="53"/>
      <c r="AB3" s="53"/>
      <c r="AC3" s="53"/>
      <c r="AD3" s="53"/>
      <c r="AE3" s="53"/>
      <c r="AF3" s="54"/>
      <c r="AG3" s="54"/>
      <c r="AH3" s="54"/>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5"/>
      <c r="FA3" s="55"/>
      <c r="FB3" s="55"/>
      <c r="FC3" s="55"/>
      <c r="FD3" s="55"/>
      <c r="FE3" s="55"/>
      <c r="FF3" s="55"/>
      <c r="FG3" s="55"/>
      <c r="FH3" s="55"/>
      <c r="FI3" s="55"/>
      <c r="FJ3" s="55"/>
      <c r="FK3" s="55"/>
      <c r="FL3" s="55"/>
      <c r="FM3" s="55"/>
      <c r="FQ3" s="252"/>
      <c r="FR3" s="252"/>
      <c r="FS3" s="252"/>
      <c r="FT3" s="252"/>
      <c r="FU3" s="252"/>
      <c r="FV3" s="252"/>
    </row>
    <row r="4" spans="1:14" s="51" customFormat="1" ht="27" customHeight="1">
      <c r="A4" s="91">
        <v>45498</v>
      </c>
      <c r="B4" s="91">
        <v>45499</v>
      </c>
      <c r="C4" s="92" t="s">
        <v>192</v>
      </c>
      <c r="D4" s="92" t="s">
        <v>192</v>
      </c>
      <c r="E4" s="102">
        <f>INDEX($B$2:$B$4,3,1)-INDEX($A$2:$A$4,3,1)</f>
        <v>1</v>
      </c>
      <c r="F4" s="62">
        <f>F31</f>
        <v>0</v>
      </c>
      <c r="G4" s="62">
        <f>F32</f>
        <v>0</v>
      </c>
      <c r="H4" s="62">
        <f>E31</f>
        <v>0</v>
      </c>
      <c r="I4" s="62">
        <f>E32</f>
        <v>0</v>
      </c>
      <c r="J4" s="62">
        <f>SUM(F4:I4)</f>
        <v>0</v>
      </c>
      <c r="K4" s="14"/>
      <c r="L4" s="14"/>
      <c r="M4" s="14"/>
      <c r="N4" s="14"/>
    </row>
    <row r="5" spans="1:10" ht="12" customHeight="1">
      <c r="A5" s="245" t="s">
        <v>4</v>
      </c>
      <c r="B5" s="245" t="s">
        <v>5</v>
      </c>
      <c r="C5" s="245" t="s">
        <v>23</v>
      </c>
      <c r="D5" s="245"/>
      <c r="E5" s="247" t="s">
        <v>173</v>
      </c>
      <c r="F5" s="248" t="s">
        <v>174</v>
      </c>
      <c r="G5" s="249"/>
      <c r="H5" s="249"/>
      <c r="I5" s="249"/>
      <c r="J5" s="249"/>
    </row>
    <row r="6" spans="1:10" ht="12" customHeight="1">
      <c r="A6" s="245"/>
      <c r="B6" s="245"/>
      <c r="C6" s="245"/>
      <c r="D6" s="245"/>
      <c r="E6" s="247"/>
      <c r="F6" s="250"/>
      <c r="G6" s="251"/>
      <c r="H6" s="251"/>
      <c r="I6" s="251"/>
      <c r="J6" s="251"/>
    </row>
    <row r="7" spans="1:7" ht="27" customHeight="1">
      <c r="A7" s="93" t="s">
        <v>189</v>
      </c>
      <c r="B7" s="93" t="s">
        <v>189</v>
      </c>
      <c r="C7" s="246" t="s">
        <v>190</v>
      </c>
      <c r="D7" s="246"/>
      <c r="E7" s="231"/>
      <c r="F7" s="206"/>
      <c r="G7" s="206"/>
    </row>
    <row r="8" spans="1:10" ht="12" customHeight="1">
      <c r="A8" s="245" t="s">
        <v>52</v>
      </c>
      <c r="B8" s="245" t="s">
        <v>28</v>
      </c>
      <c r="C8" s="245" t="s">
        <v>145</v>
      </c>
      <c r="D8" s="245"/>
      <c r="E8" s="245"/>
      <c r="F8" s="245"/>
      <c r="G8" s="245"/>
      <c r="H8" s="245"/>
      <c r="I8" s="245"/>
      <c r="J8" s="245"/>
    </row>
    <row r="9" spans="1:10" ht="12" customHeight="1">
      <c r="A9" s="245"/>
      <c r="B9" s="245"/>
      <c r="C9" s="181" t="s">
        <v>56</v>
      </c>
      <c r="D9" s="181" t="s">
        <v>57</v>
      </c>
      <c r="E9" s="182" t="s">
        <v>144</v>
      </c>
      <c r="F9" s="238" t="s">
        <v>3</v>
      </c>
      <c r="G9" s="238"/>
      <c r="H9" s="238"/>
      <c r="I9" s="238"/>
      <c r="J9" s="238"/>
    </row>
    <row r="10" spans="1:10" ht="27" customHeight="1">
      <c r="A10" s="92" t="s">
        <v>107</v>
      </c>
      <c r="B10" s="92" t="s">
        <v>120</v>
      </c>
      <c r="C10" s="92" t="s">
        <v>112</v>
      </c>
      <c r="D10" s="92" t="s">
        <v>113</v>
      </c>
      <c r="E10" s="204" t="s">
        <v>169</v>
      </c>
      <c r="F10" s="239" t="s">
        <v>170</v>
      </c>
      <c r="G10" s="240"/>
      <c r="H10" s="240"/>
      <c r="I10" s="240"/>
      <c r="J10" s="241"/>
    </row>
    <row r="11" spans="1:6" ht="12" customHeight="1">
      <c r="A11" s="238" t="s">
        <v>74</v>
      </c>
      <c r="B11" s="238"/>
      <c r="C11" s="242" t="s">
        <v>75</v>
      </c>
      <c r="D11" s="242"/>
      <c r="E11" s="242"/>
      <c r="F11" s="242"/>
    </row>
    <row r="12" spans="1:6" ht="12" customHeight="1">
      <c r="A12" s="238"/>
      <c r="B12" s="238"/>
      <c r="C12" s="242" t="s">
        <v>119</v>
      </c>
      <c r="D12" s="242"/>
      <c r="E12" s="242"/>
      <c r="F12" s="242"/>
    </row>
    <row r="13" spans="1:6" ht="27" customHeight="1">
      <c r="A13" s="236" t="s">
        <v>118</v>
      </c>
      <c r="B13" s="236"/>
      <c r="C13" s="237" t="s">
        <v>121</v>
      </c>
      <c r="D13" s="237"/>
      <c r="E13" s="237"/>
      <c r="F13" s="237"/>
    </row>
    <row r="14" spans="1:10" ht="24" customHeight="1">
      <c r="A14" s="89" t="s">
        <v>79</v>
      </c>
      <c r="B14" s="88" t="s">
        <v>19</v>
      </c>
      <c r="C14" s="52"/>
      <c r="D14" s="52"/>
      <c r="E14" s="56"/>
      <c r="F14" s="56"/>
      <c r="G14" s="57"/>
      <c r="H14" s="57"/>
      <c r="I14" s="57"/>
      <c r="J14" s="57"/>
    </row>
    <row r="15" spans="1:10" ht="27" customHeight="1">
      <c r="A15" s="92" t="s">
        <v>122</v>
      </c>
      <c r="B15" s="90" t="s">
        <v>111</v>
      </c>
      <c r="C15" s="243" t="str">
        <f>IF(A18="有","←帰敬式がありますので、申込責任者は住職・組長・教務所長となります","←帰敬式受式者がいらっしゃいませんので、どなたさまでもかまいません。")</f>
        <v>←帰敬式がありますので、申込責任者は住職・組長・教務所長となります</v>
      </c>
      <c r="D15" s="244"/>
      <c r="E15" s="244"/>
      <c r="F15" s="244"/>
      <c r="G15" s="244"/>
      <c r="H15" s="244"/>
      <c r="I15" s="244"/>
      <c r="J15" s="57"/>
    </row>
    <row r="16" spans="1:8" ht="12" customHeight="1">
      <c r="A16" s="260" t="s">
        <v>17</v>
      </c>
      <c r="B16" s="254" t="s">
        <v>117</v>
      </c>
      <c r="C16" s="255"/>
      <c r="D16" s="256"/>
      <c r="E16" s="107"/>
      <c r="F16" s="108"/>
      <c r="G16" s="108"/>
      <c r="H16" s="108"/>
    </row>
    <row r="17" spans="1:8" ht="12" customHeight="1">
      <c r="A17" s="261"/>
      <c r="B17" s="105" t="s">
        <v>197</v>
      </c>
      <c r="C17" s="105" t="s">
        <v>200</v>
      </c>
      <c r="D17" s="106" t="s">
        <v>65</v>
      </c>
      <c r="E17" s="107"/>
      <c r="F17" s="108"/>
      <c r="G17" s="108"/>
      <c r="H17" s="108"/>
    </row>
    <row r="18" spans="1:11" ht="27" customHeight="1">
      <c r="A18" s="92" t="s">
        <v>178</v>
      </c>
      <c r="B18" s="62">
        <f>B36</f>
        <v>0</v>
      </c>
      <c r="C18" s="62">
        <f>B37</f>
        <v>0</v>
      </c>
      <c r="D18" s="61">
        <f>SUM(B18:C18)</f>
        <v>0</v>
      </c>
      <c r="E18" s="267" t="str">
        <f>IF(OR(AND(A18="無",B18=0,C18=0),AND(A18="有",OR(B18&gt;0,C18&gt;0))),"","←帰敬式の有無と人数が一致しませんので、再度ご確認ください。参加者データの帰敬式について必要事項を正確に入力ください。")</f>
        <v>←帰敬式の有無と人数が一致しませんので、再度ご確認ください。参加者データの帰敬式について必要事項を正確に入力ください。</v>
      </c>
      <c r="F18" s="268"/>
      <c r="G18" s="268"/>
      <c r="H18" s="268"/>
      <c r="I18" s="268"/>
      <c r="J18" s="268"/>
      <c r="K18" s="268"/>
    </row>
    <row r="19" spans="1:2" ht="12" customHeight="1">
      <c r="A19" s="260" t="s">
        <v>114</v>
      </c>
      <c r="B19" s="260" t="s">
        <v>115</v>
      </c>
    </row>
    <row r="20" spans="1:2" ht="12" customHeight="1">
      <c r="A20" s="261"/>
      <c r="B20" s="261"/>
    </row>
    <row r="21" spans="1:2" ht="27" customHeight="1">
      <c r="A21" s="94">
        <v>0.4583333333333333</v>
      </c>
      <c r="B21" s="94">
        <v>0.5833333333333334</v>
      </c>
    </row>
    <row r="22" spans="1:7" ht="12" customHeight="1">
      <c r="A22" s="260" t="s">
        <v>53</v>
      </c>
      <c r="B22" s="58" t="s">
        <v>71</v>
      </c>
      <c r="C22" s="257" t="s">
        <v>72</v>
      </c>
      <c r="D22" s="257"/>
      <c r="E22" s="257"/>
      <c r="F22" s="269" t="s">
        <v>73</v>
      </c>
      <c r="G22" s="269"/>
    </row>
    <row r="23" spans="1:7" ht="12" customHeight="1">
      <c r="A23" s="261"/>
      <c r="B23" s="59" t="s">
        <v>59</v>
      </c>
      <c r="C23" s="60" t="s">
        <v>60</v>
      </c>
      <c r="D23" s="60" t="s">
        <v>61</v>
      </c>
      <c r="E23" s="60" t="s">
        <v>58</v>
      </c>
      <c r="F23" s="270" t="s">
        <v>62</v>
      </c>
      <c r="G23" s="270"/>
    </row>
    <row r="24" spans="1:7" ht="27" customHeight="1">
      <c r="A24" s="93" t="s">
        <v>171</v>
      </c>
      <c r="B24" s="208"/>
      <c r="C24" s="93"/>
      <c r="D24" s="93"/>
      <c r="E24" s="93"/>
      <c r="F24" s="265" t="s">
        <v>172</v>
      </c>
      <c r="G24" s="266"/>
    </row>
    <row r="25" spans="1:10" ht="12" customHeight="1">
      <c r="A25" s="245" t="s">
        <v>131</v>
      </c>
      <c r="B25" s="245"/>
      <c r="C25" s="245"/>
      <c r="D25" s="245"/>
      <c r="E25" s="245"/>
      <c r="F25" s="245"/>
      <c r="G25" s="245"/>
      <c r="H25" s="245"/>
      <c r="I25" s="245"/>
      <c r="J25" s="245"/>
    </row>
    <row r="26" spans="1:10" ht="12" customHeight="1">
      <c r="A26" s="245"/>
      <c r="B26" s="245"/>
      <c r="C26" s="245"/>
      <c r="D26" s="245"/>
      <c r="E26" s="245"/>
      <c r="F26" s="245"/>
      <c r="G26" s="245"/>
      <c r="H26" s="245"/>
      <c r="I26" s="245"/>
      <c r="J26" s="245"/>
    </row>
    <row r="27" spans="1:10" ht="27" customHeight="1">
      <c r="A27" s="262" t="s">
        <v>180</v>
      </c>
      <c r="B27" s="263"/>
      <c r="C27" s="263"/>
      <c r="D27" s="263"/>
      <c r="E27" s="263"/>
      <c r="F27" s="263"/>
      <c r="G27" s="263"/>
      <c r="H27" s="263"/>
      <c r="I27" s="263"/>
      <c r="J27" s="264"/>
    </row>
    <row r="29" spans="1:10" ht="48.75" customHeight="1" thickBot="1">
      <c r="A29" s="234" t="s">
        <v>167</v>
      </c>
      <c r="B29" s="234"/>
      <c r="C29" s="234"/>
      <c r="D29" s="234"/>
      <c r="E29" s="234"/>
      <c r="F29" s="234"/>
      <c r="G29" s="235"/>
      <c r="H29" s="235"/>
      <c r="I29" s="235"/>
      <c r="J29" s="235"/>
    </row>
    <row r="30" spans="1:7" ht="12.75">
      <c r="A30" s="185" t="s">
        <v>155</v>
      </c>
      <c r="B30" s="185" t="s">
        <v>162</v>
      </c>
      <c r="C30" s="185" t="s">
        <v>163</v>
      </c>
      <c r="D30" s="185" t="s">
        <v>164</v>
      </c>
      <c r="E30" s="195" t="s">
        <v>165</v>
      </c>
      <c r="F30" s="197" t="s">
        <v>166</v>
      </c>
      <c r="G30" s="203" t="s">
        <v>65</v>
      </c>
    </row>
    <row r="31" spans="1:7" ht="12.75">
      <c r="A31" s="185" t="s">
        <v>156</v>
      </c>
      <c r="B31" s="43">
        <f>SUM('参加者データ（要入力）'!R3:R102)</f>
        <v>0</v>
      </c>
      <c r="C31" s="43">
        <f>SUM('参加者データ（要入力）'!S3:S102)</f>
        <v>0</v>
      </c>
      <c r="D31" s="43">
        <f>SUM('参加者データ（要入力）'!T3:T102)</f>
        <v>0</v>
      </c>
      <c r="E31" s="194">
        <f>SUM('参加者データ（要入力）'!U3:U102)</f>
        <v>0</v>
      </c>
      <c r="F31" s="198">
        <f>SUM(B31:D31)</f>
        <v>0</v>
      </c>
      <c r="G31" s="201">
        <f>SUM(B31:E31)</f>
        <v>0</v>
      </c>
    </row>
    <row r="32" spans="1:7" ht="13.5" thickBot="1">
      <c r="A32" s="187" t="s">
        <v>157</v>
      </c>
      <c r="B32" s="188">
        <f>SUM('参加者データ（要入力）'!V3:V102)</f>
        <v>0</v>
      </c>
      <c r="C32" s="188">
        <f>SUM('参加者データ（要入力）'!W3:W102)</f>
        <v>0</v>
      </c>
      <c r="D32" s="188">
        <f>SUM('参加者データ（要入力）'!X3:X102)</f>
        <v>0</v>
      </c>
      <c r="E32" s="193">
        <f>SUM('参加者データ（要入力）'!Y3:Y102)</f>
        <v>0</v>
      </c>
      <c r="F32" s="199">
        <f>SUM(B32:D32)</f>
        <v>0</v>
      </c>
      <c r="G32" s="202">
        <f>SUM(B32:E32)</f>
        <v>0</v>
      </c>
    </row>
    <row r="33" spans="1:7" ht="14.25" thickBot="1" thickTop="1">
      <c r="A33" s="190" t="s">
        <v>158</v>
      </c>
      <c r="B33" s="191">
        <f aca="true" t="shared" si="0" ref="B33:G33">SUM(B31:B32)</f>
        <v>0</v>
      </c>
      <c r="C33" s="191">
        <f t="shared" si="0"/>
        <v>0</v>
      </c>
      <c r="D33" s="191">
        <f t="shared" si="0"/>
        <v>0</v>
      </c>
      <c r="E33" s="196">
        <f t="shared" si="0"/>
        <v>0</v>
      </c>
      <c r="F33" s="200">
        <f t="shared" si="0"/>
        <v>0</v>
      </c>
      <c r="G33" s="192">
        <f t="shared" si="0"/>
        <v>0</v>
      </c>
    </row>
    <row r="35" spans="1:2" ht="12.75">
      <c r="A35" s="185" t="s">
        <v>159</v>
      </c>
      <c r="B35" s="205" t="s">
        <v>65</v>
      </c>
    </row>
    <row r="36" spans="1:2" ht="12.75">
      <c r="A36" s="185" t="s">
        <v>160</v>
      </c>
      <c r="B36" s="186">
        <f>SUM('参加者データ（要入力）'!Z3:Z102)</f>
        <v>0</v>
      </c>
    </row>
    <row r="37" spans="1:2" ht="13.5" thickBot="1">
      <c r="A37" s="187" t="s">
        <v>161</v>
      </c>
      <c r="B37" s="189">
        <f>SUM('参加者データ（要入力）'!AA3:AA102)</f>
        <v>0</v>
      </c>
    </row>
    <row r="38" spans="1:2" ht="14.25" thickBot="1" thickTop="1">
      <c r="A38" s="190" t="s">
        <v>158</v>
      </c>
      <c r="B38" s="192">
        <f>SUM(B36:B37)</f>
        <v>0</v>
      </c>
    </row>
    <row r="42" spans="1:76" ht="12.75">
      <c r="A42" s="63"/>
      <c r="B42" s="63"/>
      <c r="C42" s="63"/>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row>
    <row r="48" spans="1:2" ht="12.75">
      <c r="A48" s="13"/>
      <c r="B48" s="13"/>
    </row>
    <row r="49" spans="1:2" ht="12.75">
      <c r="A49" s="13"/>
      <c r="B49" s="13"/>
    </row>
    <row r="50" spans="1:2" ht="12.75">
      <c r="A50" s="13"/>
      <c r="B50" s="13"/>
    </row>
    <row r="51" spans="1:2" ht="12.75">
      <c r="A51" s="13"/>
      <c r="B51" s="13"/>
    </row>
    <row r="52" spans="1:2" ht="12.75">
      <c r="A52" s="13"/>
      <c r="B52" s="13"/>
    </row>
    <row r="53" spans="1:2" ht="12.75">
      <c r="A53" s="13"/>
      <c r="B53" s="13"/>
    </row>
  </sheetData>
  <sheetProtection formatColumns="0" formatRows="0" selectLockedCells="1"/>
  <mergeCells count="38">
    <mergeCell ref="A25:J26"/>
    <mergeCell ref="A27:J27"/>
    <mergeCell ref="F24:G24"/>
    <mergeCell ref="B16:D16"/>
    <mergeCell ref="E18:K18"/>
    <mergeCell ref="F22:G22"/>
    <mergeCell ref="F23:G23"/>
    <mergeCell ref="A19:A20"/>
    <mergeCell ref="B19:B20"/>
    <mergeCell ref="A22:A23"/>
    <mergeCell ref="C22:E22"/>
    <mergeCell ref="A2:A3"/>
    <mergeCell ref="B2:B3"/>
    <mergeCell ref="C2:C3"/>
    <mergeCell ref="D2:D3"/>
    <mergeCell ref="A16:A17"/>
    <mergeCell ref="A5:A6"/>
    <mergeCell ref="B5:B6"/>
    <mergeCell ref="C5:D6"/>
    <mergeCell ref="A8:A9"/>
    <mergeCell ref="C8:J8"/>
    <mergeCell ref="C7:D7"/>
    <mergeCell ref="E5:E6"/>
    <mergeCell ref="F5:J6"/>
    <mergeCell ref="FQ3:FS3"/>
    <mergeCell ref="FT3:FV3"/>
    <mergeCell ref="E2:E3"/>
    <mergeCell ref="F2:J2"/>
    <mergeCell ref="A29:J29"/>
    <mergeCell ref="A13:B13"/>
    <mergeCell ref="C13:F13"/>
    <mergeCell ref="F9:J9"/>
    <mergeCell ref="F10:J10"/>
    <mergeCell ref="C11:F11"/>
    <mergeCell ref="C12:F12"/>
    <mergeCell ref="A11:B12"/>
    <mergeCell ref="C15:I15"/>
    <mergeCell ref="B8:B9"/>
  </mergeCells>
  <dataValidations count="5">
    <dataValidation type="list" allowBlank="1" showInputMessage="1" showErrorMessage="1" sqref="A24">
      <formula1>"JR京都駅,バス,現地集合,その他"</formula1>
    </dataValidation>
    <dataValidation type="list" allowBlank="1" showInputMessage="1" showErrorMessage="1" sqref="A18">
      <formula1>"有,無"</formula1>
    </dataValidation>
    <dataValidation type="list" allowBlank="1" showInputMessage="1" showErrorMessage="1" sqref="E24">
      <formula1>"要,不要"</formula1>
    </dataValidation>
    <dataValidation type="list" allowBlank="1" showInputMessage="1" showErrorMessage="1" sqref="C24">
      <formula1>"大型,中型,小型,マイクロ"</formula1>
    </dataValidation>
    <dataValidation type="list" allowBlank="1" showInputMessage="1" showErrorMessage="1" sqref="E14:F14 A13:B13">
      <formula1>"郵送,メール"</formula1>
    </dataValidation>
  </dataValidations>
  <printOptions/>
  <pageMargins left="0.49" right="0.2" top="0.2" bottom="0.52" header="0.2" footer="0.51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375"/>
  <sheetViews>
    <sheetView zoomScalePageLayoutView="0" workbookViewId="0" topLeftCell="A1">
      <selection activeCell="N6" sqref="N6"/>
    </sheetView>
  </sheetViews>
  <sheetFormatPr defaultColWidth="9.00390625" defaultRowHeight="13.5"/>
  <cols>
    <col min="1" max="1" width="2.625" style="80" customWidth="1"/>
    <col min="2" max="2" width="18.375" style="80" customWidth="1"/>
    <col min="3" max="4" width="2.625" style="80" customWidth="1"/>
    <col min="5" max="5" width="11.75390625" style="80" bestFit="1" customWidth="1"/>
    <col min="6" max="6" width="4.375" style="80" customWidth="1"/>
    <col min="7" max="7" width="2.875" style="80" customWidth="1"/>
    <col min="8" max="8" width="2.75390625" style="137" customWidth="1"/>
    <col min="9" max="9" width="10.25390625" style="82" customWidth="1"/>
    <col min="10" max="10" width="2.375" style="80" customWidth="1"/>
    <col min="11" max="11" width="14.75390625" style="80" customWidth="1"/>
    <col min="12" max="12" width="2.625" style="80" customWidth="1"/>
    <col min="13" max="13" width="18.25390625" style="80" customWidth="1"/>
    <col min="14" max="14" width="10.50390625" style="80" customWidth="1"/>
    <col min="15" max="15" width="5.125" style="80" customWidth="1"/>
    <col min="16" max="16" width="10.625" style="83" customWidth="1"/>
    <col min="17" max="17" width="10.625" style="84" customWidth="1"/>
    <col min="18" max="18" width="10.625" style="80" customWidth="1"/>
    <col min="19" max="16384" width="9.00390625" style="80" customWidth="1"/>
  </cols>
  <sheetData>
    <row r="1" spans="1:18" ht="34.5" customHeight="1">
      <c r="A1" s="320" t="s">
        <v>45</v>
      </c>
      <c r="B1" s="321"/>
      <c r="C1" s="321"/>
      <c r="D1" s="321"/>
      <c r="E1" s="321"/>
      <c r="F1" s="322"/>
      <c r="G1" s="74" t="s">
        <v>46</v>
      </c>
      <c r="H1" s="318">
        <f>INDEX('奉仕団基礎データ（要入力）'!$A$2:$A$4,3,1)</f>
        <v>45498</v>
      </c>
      <c r="I1" s="319"/>
      <c r="J1" s="100" t="s">
        <v>70</v>
      </c>
      <c r="K1" s="101">
        <f>INDEX('奉仕団基礎データ（要入力）'!$B$2:$B$4,3,1)</f>
        <v>45499</v>
      </c>
      <c r="L1" s="271" t="str">
        <f>'奉仕団基礎データ（要入力）'!$A$7&amp;"教区　　"&amp;'奉仕団基礎データ（要入力）'!$B$7&amp;"組　　"&amp;'奉仕団基礎データ（要入力）'!$C$7&amp;"子ども奉仕団"</f>
        <v>●●教区　　●●組　　●●寺子ども奉仕団</v>
      </c>
      <c r="M1" s="272"/>
      <c r="N1" s="272"/>
      <c r="O1" s="272"/>
      <c r="P1" s="272"/>
      <c r="Q1" s="272"/>
      <c r="R1" s="273"/>
    </row>
    <row r="2" spans="1:17" ht="11.25" customHeight="1">
      <c r="A2" s="75"/>
      <c r="B2" s="75"/>
      <c r="C2" s="75"/>
      <c r="D2" s="75"/>
      <c r="E2" s="75"/>
      <c r="F2" s="75"/>
      <c r="G2" s="75"/>
      <c r="H2" s="130"/>
      <c r="I2" s="76"/>
      <c r="J2" s="75"/>
      <c r="K2" s="75"/>
      <c r="L2" s="138"/>
      <c r="M2" s="138"/>
      <c r="N2" s="138"/>
      <c r="O2" s="138"/>
      <c r="P2" s="139"/>
      <c r="Q2" s="140"/>
    </row>
    <row r="3" spans="1:18" s="81" customFormat="1" ht="21.75" customHeight="1">
      <c r="A3" s="279" t="s">
        <v>9</v>
      </c>
      <c r="B3" s="77" t="s">
        <v>10</v>
      </c>
      <c r="C3" s="305" t="s">
        <v>7</v>
      </c>
      <c r="D3" s="305" t="s">
        <v>130</v>
      </c>
      <c r="E3" s="279" t="s">
        <v>11</v>
      </c>
      <c r="F3" s="307" t="s">
        <v>17</v>
      </c>
      <c r="G3" s="304" t="s">
        <v>13</v>
      </c>
      <c r="H3" s="304"/>
      <c r="I3" s="304"/>
      <c r="J3" s="304" t="s">
        <v>2</v>
      </c>
      <c r="K3" s="304"/>
      <c r="L3" s="304" t="s">
        <v>196</v>
      </c>
      <c r="M3" s="304"/>
      <c r="N3" s="77" t="s">
        <v>14</v>
      </c>
      <c r="O3" s="331" t="s">
        <v>177</v>
      </c>
      <c r="P3" s="298" t="s">
        <v>193</v>
      </c>
      <c r="Q3" s="299"/>
      <c r="R3" s="300"/>
    </row>
    <row r="4" spans="1:18" s="81" customFormat="1" ht="21.75" customHeight="1">
      <c r="A4" s="279"/>
      <c r="B4" s="78" t="s">
        <v>1</v>
      </c>
      <c r="C4" s="306"/>
      <c r="D4" s="306"/>
      <c r="E4" s="279"/>
      <c r="F4" s="308"/>
      <c r="G4" s="295" t="s">
        <v>12</v>
      </c>
      <c r="H4" s="295"/>
      <c r="I4" s="295"/>
      <c r="J4" s="295" t="s">
        <v>3</v>
      </c>
      <c r="K4" s="295"/>
      <c r="L4" s="295"/>
      <c r="M4" s="295"/>
      <c r="N4" s="79" t="s">
        <v>20</v>
      </c>
      <c r="O4" s="332"/>
      <c r="P4" s="301"/>
      <c r="Q4" s="302"/>
      <c r="R4" s="303"/>
    </row>
    <row r="5" spans="1:18" s="152" customFormat="1" ht="19.5" customHeight="1">
      <c r="A5" s="281">
        <v>1</v>
      </c>
      <c r="B5" s="142">
        <f>IF(INDEX('参加者データ（要入力）'!$B$3:$O$102,1,2)="","",INDEX('参加者データ（要入力）'!$B$3:$O$102,1,2))</f>
      </c>
      <c r="C5" s="309">
        <f>IF(INDEX('参加者データ（要入力）'!$B$3:$O$102,1,3)="","",INDEX('参加者データ（要入力）'!$B$3:$O$102,1,3))</f>
      </c>
      <c r="D5" s="309">
        <f>IF(INDEX('参加者データ（要入力）'!$B$3:$O$102,1,4)="","",INDEX('参加者データ（要入力）'!$B$3:$O$102,1,4))</f>
      </c>
      <c r="E5" s="143">
        <f>IF(INDEX('参加者データ（要入力）'!$B$3:$O$102,1,5)="","",INDEX('参加者データ（要入力）'!$B$3:$O$102,1,5))</f>
      </c>
      <c r="F5" s="296">
        <f>IF(INDEX('参加者データ（要入力）'!$B$3:$O$102,1,9)="","",INDEX('参加者データ（要入力）'!$B$3:$O$102,1,9))</f>
      </c>
      <c r="G5" s="144"/>
      <c r="H5" s="145"/>
      <c r="I5" s="146">
        <f>IF(INDEX('参加者データ（要入力）'!$B$3:$O$102,1,11)="","",INDEX('参加者データ（要入力）'!$B$3:$O$102,1,11))</f>
      </c>
      <c r="J5" s="147" t="s">
        <v>108</v>
      </c>
      <c r="K5" s="148">
        <f>IF(INDEX('参加者データ（要入力）'!$B$3:$O$102,1,6)="","",INDEX('参加者データ（要入力）'!$B$3:$O$102,1,6))</f>
      </c>
      <c r="L5" s="149" t="s">
        <v>109</v>
      </c>
      <c r="M5" s="150">
        <f>IF(INDEX('参加者データ（要入力）'!$B$3:$O$102,1,8)="","",INDEX('参加者データ（要入力）'!$B$3:$O$102,1,8))</f>
      </c>
      <c r="N5" s="151">
        <f>IF(INDEX('参加者データ（要入力）'!$B$3:$O$102,1,12)="","",INDEX('参加者データ（要入力）'!$B$3:$O$102,1,12))</f>
      </c>
      <c r="O5" s="323">
        <f>IF(INDEX('参加者データ（要入力）'!$B$3:$P$102,1,14)="","",INDEX('参加者データ（要入力）'!$B$3:$P$102,1,14))</f>
      </c>
      <c r="P5" s="325">
        <f>IF(INDEX('参加者データ（要入力）'!$B$3:$P$102,1,15)="","",INDEX('参加者データ（要入力）'!$B$3:$P$102,1,15))</f>
      </c>
      <c r="Q5" s="326"/>
      <c r="R5" s="327"/>
    </row>
    <row r="6" spans="1:18" ht="31.5" customHeight="1">
      <c r="A6" s="282"/>
      <c r="B6" s="117">
        <f>IF(INDEX('参加者データ（要入力）'!$B$3:$O$102,1,1)="","",(INDEX('参加者データ（要入力）'!$B$3:$O$102,1,1)))</f>
      </c>
      <c r="C6" s="280"/>
      <c r="D6" s="280"/>
      <c r="E6" s="122">
        <f>IF(INDEX('参加者データ（要入力）'!$B$3:$O$102,1,5)="","",INDEX('参加者データ（要入力）'!$B$3:$O$102,1,5))</f>
      </c>
      <c r="F6" s="297"/>
      <c r="G6" s="127" t="s">
        <v>15</v>
      </c>
      <c r="H6" s="132">
        <f>IF(AND(C5="女",F5="A"),"尼","")</f>
      </c>
      <c r="I6" s="176">
        <f>IF(INDEX('参加者データ（要入力）'!$B$3:$O$102,1,10)="","",INDEX('参加者データ（要入力）'!$B$3:$O$102,1,10))</f>
      </c>
      <c r="J6" s="310">
        <f>IF(INDEX('参加者データ（要入力）'!$B$3:$O$102,1,7)="","",INDEX('参加者データ（要入力）'!$B$3:$O$102,1,7))</f>
      </c>
      <c r="K6" s="311" t="str">
        <f>INDEX('参加者データ（要入力）'!$B$2:$O$102,1,6)</f>
        <v>600-8308</v>
      </c>
      <c r="L6" s="311" t="str">
        <f>INDEX('参加者データ（要入力）'!$B$2:$O$102,1,6)</f>
        <v>600-8308</v>
      </c>
      <c r="M6" s="312" t="str">
        <f>INDEX('参加者データ（要入力）'!$B$2:$O$102,1,6)</f>
        <v>600-8308</v>
      </c>
      <c r="N6" s="99">
        <f>IF(INDEX('参加者データ（要入力）'!$B$3:$O$102,1,13)="","",INDEX('参加者データ（要入力）'!$B$3:$O$102,1,13))</f>
      </c>
      <c r="O6" s="324"/>
      <c r="P6" s="328"/>
      <c r="Q6" s="329"/>
      <c r="R6" s="330"/>
    </row>
    <row r="7" spans="1:18" s="152" customFormat="1" ht="19.5" customHeight="1">
      <c r="A7" s="281">
        <v>2</v>
      </c>
      <c r="B7" s="142">
        <f>IF(INDEX('参加者データ（要入力）'!$B$3:$O$102,2,2)="","",INDEX('参加者データ（要入力）'!$B$3:$O$102,2,2))</f>
      </c>
      <c r="C7" s="309">
        <f>IF(INDEX('参加者データ（要入力）'!$B$3:$O$102,2,3)="","",INDEX('参加者データ（要入力）'!$B$3:$O$102,2,3))</f>
      </c>
      <c r="D7" s="309">
        <f>IF(INDEX('参加者データ（要入力）'!$B$3:$O$102,2,4)="","",INDEX('参加者データ（要入力）'!$B$3:$O$102,2,4))</f>
      </c>
      <c r="E7" s="143">
        <f>IF(INDEX('参加者データ（要入力）'!$B$3:$O$102,2,5)="","",INDEX('参加者データ（要入力）'!$B$3:$O$102,2,5))</f>
      </c>
      <c r="F7" s="296">
        <f>IF(INDEX('参加者データ（要入力）'!$B$3:$O$102,2,9)="","",INDEX('参加者データ（要入力）'!$B$3:$O$102,2,9))</f>
      </c>
      <c r="G7" s="144"/>
      <c r="H7" s="145"/>
      <c r="I7" s="146">
        <f>IF(INDEX('参加者データ（要入力）'!$B$3:$O$102,2,11)="","",INDEX('参加者データ（要入力）'!$B$3:$O$102,2,11))</f>
      </c>
      <c r="J7" s="147" t="s">
        <v>96</v>
      </c>
      <c r="K7" s="148">
        <f>IF(INDEX('参加者データ（要入力）'!$B$3:$O$102,2,6)="","",INDEX('参加者データ（要入力）'!$B$3:$O$102,2,6))</f>
      </c>
      <c r="L7" s="149" t="s">
        <v>97</v>
      </c>
      <c r="M7" s="150">
        <f>IF(INDEX('参加者データ（要入力）'!$B$3:$O$102,2,8)="","",INDEX('参加者データ（要入力）'!$B$3:$O$102,2,8))</f>
      </c>
      <c r="N7" s="151">
        <f>IF(INDEX('参加者データ（要入力）'!$B$3:$O$102,2,12)="","",INDEX('参加者データ（要入力）'!$B$3:$O$102,2,12))</f>
      </c>
      <c r="O7" s="283">
        <f>IF(INDEX('参加者データ（要入力）'!$B$3:$P$102,2,14)="","",INDEX('参加者データ（要入力）'!$B$3:$P$102,2,14))</f>
      </c>
      <c r="P7" s="285">
        <f>IF(INDEX('参加者データ（要入力）'!$B$3:$P$102,2,15)="","",INDEX('参加者データ（要入力）'!$B$3:$P$102,2,15))</f>
      </c>
      <c r="Q7" s="286"/>
      <c r="R7" s="287"/>
    </row>
    <row r="8" spans="1:18" ht="31.5" customHeight="1">
      <c r="A8" s="282"/>
      <c r="B8" s="117">
        <f>IF(INDEX('参加者データ（要入力）'!$B$3:$O$102,2,1)="","",INDEX('参加者データ（要入力）'!$B$3:$O$102,2,1))</f>
      </c>
      <c r="C8" s="280"/>
      <c r="D8" s="280"/>
      <c r="E8" s="124">
        <f>IF(INDEX('参加者データ（要入力）'!$B$3:$O$102,2,5)="","",INDEX('参加者データ（要入力）'!$B$3:$O$102,2,5))</f>
      </c>
      <c r="F8" s="297"/>
      <c r="G8" s="127" t="s">
        <v>98</v>
      </c>
      <c r="H8" s="132">
        <f>IF(AND(C7="女",F7="A"),"尼","")</f>
      </c>
      <c r="I8" s="176">
        <f>IF(INDEX('参加者データ（要入力）'!$B$3:$O$102,2,10)="","",INDEX('参加者データ（要入力）'!$B$3:$O$102,2,10))</f>
      </c>
      <c r="J8" s="276">
        <f>IF(INDEX('参加者データ（要入力）'!$B$3:$O$102,2,7)="","",INDEX('参加者データ（要入力）'!$B$3:$O$102,2,7))</f>
      </c>
      <c r="K8" s="277" t="str">
        <f>INDEX('参加者データ（要入力）'!$B$2:$O$102,1,6)</f>
        <v>600-8308</v>
      </c>
      <c r="L8" s="277" t="str">
        <f>INDEX('参加者データ（要入力）'!$B$2:$O$102,1,6)</f>
        <v>600-8308</v>
      </c>
      <c r="M8" s="278" t="str">
        <f>INDEX('参加者データ（要入力）'!$B$2:$O$102,1,6)</f>
        <v>600-8308</v>
      </c>
      <c r="N8" s="99">
        <f>IF(INDEX('参加者データ（要入力）'!$B$3:$O$102,2,13)="","",INDEX('参加者データ（要入力）'!$B$3:$O$102,2,13))</f>
      </c>
      <c r="O8" s="284"/>
      <c r="P8" s="288"/>
      <c r="Q8" s="289"/>
      <c r="R8" s="290"/>
    </row>
    <row r="9" spans="1:18" s="152" customFormat="1" ht="19.5" customHeight="1">
      <c r="A9" s="282">
        <v>3</v>
      </c>
      <c r="B9" s="153">
        <f>IF(INDEX('参加者データ（要入力）'!$B$3:$O$102,3,2)="","",INDEX('参加者データ（要入力）'!$B$3:$O$102,3,2))</f>
      </c>
      <c r="C9" s="280">
        <f>IF(INDEX('参加者データ（要入力）'!$B$3:$O$102,3,3)="","",INDEX('参加者データ（要入力）'!$B$3:$O$102,3,3))</f>
      </c>
      <c r="D9" s="313">
        <f>IF(INDEX('参加者データ（要入力）'!$B$3:$O$102,3,4)="","",INDEX('参加者データ（要入力）'!$B$3:$O$102,3,4))</f>
      </c>
      <c r="E9" s="143">
        <f>IF(INDEX('参加者データ（要入力）'!$B$3:$O$102,3,5)="","",INDEX('参加者データ（要入力）'!$B$3:$O$102,3,5))</f>
      </c>
      <c r="F9" s="274">
        <f>IF(INDEX('参加者データ（要入力）'!$B$3:$O$102,3,9)="","",INDEX('参加者データ（要入力）'!$B$3:$O$102,3,9))</f>
      </c>
      <c r="G9" s="154"/>
      <c r="H9" s="145"/>
      <c r="I9" s="155">
        <f>IF(INDEX('参加者データ（要入力）'!$B$3:$O$102,3,11)="","",INDEX('参加者データ（要入力）'!$B$3:$O$102,3,11))</f>
      </c>
      <c r="J9" s="156" t="s">
        <v>96</v>
      </c>
      <c r="K9" s="157">
        <f>IF(INDEX('参加者データ（要入力）'!$B$3:$O$102,3,6)="","",INDEX('参加者データ（要入力）'!$B$3:$O$102,3,6))</f>
      </c>
      <c r="L9" s="158" t="s">
        <v>97</v>
      </c>
      <c r="M9" s="159">
        <f>IF(INDEX('参加者データ（要入力）'!$B$3:$O$102,3,8)="","",INDEX('参加者データ（要入力）'!$B$3:$O$102,3,8))</f>
      </c>
      <c r="N9" s="160">
        <f>IF(INDEX('参加者データ（要入力）'!$B$3:$O$102,3,12)="","",INDEX('参加者データ（要入力）'!$B$3:$O$102,3,12))</f>
      </c>
      <c r="O9" s="283">
        <f>IF(INDEX('参加者データ（要入力）'!$B$3:$P$102,3,14)="","",INDEX('参加者データ（要入力）'!$B$3:$P$102,3,14))</f>
      </c>
      <c r="P9" s="285">
        <f>IF(INDEX('参加者データ（要入力）'!$B$3:$P$102,3,15)="","",INDEX('参加者データ（要入力）'!$B$3:$P$102,3,15))</f>
      </c>
      <c r="Q9" s="286"/>
      <c r="R9" s="287"/>
    </row>
    <row r="10" spans="1:18" ht="31.5" customHeight="1">
      <c r="A10" s="279"/>
      <c r="B10" s="117">
        <f>IF(INDEX('参加者データ（要入力）'!$B$3:$O$102,3,1)="","",INDEX('参加者データ（要入力）'!$B$3:$O$102,3,1))</f>
      </c>
      <c r="C10" s="237"/>
      <c r="D10" s="280"/>
      <c r="E10" s="124">
        <f>IF(INDEX('参加者データ（要入力）'!$B$3:$O$102,3,5)="","",INDEX('参加者データ（要入力）'!$B$3:$O$102,3,5))</f>
      </c>
      <c r="F10" s="275"/>
      <c r="G10" s="127" t="s">
        <v>98</v>
      </c>
      <c r="H10" s="132">
        <f>IF(AND(C9="女",F9="A"),"尼","")</f>
      </c>
      <c r="I10" s="176">
        <f>IF(INDEX('参加者データ（要入力）'!$B$3:$O$102,3,10)="","",INDEX('参加者データ（要入力）'!$B$3:$O$102,3,10))</f>
      </c>
      <c r="J10" s="276">
        <f>IF(INDEX('参加者データ（要入力）'!$B$3:$O$102,3,7)="","",INDEX('参加者データ（要入力）'!$B$3:$O$102,3,7))</f>
      </c>
      <c r="K10" s="277" t="str">
        <f>INDEX('参加者データ（要入力）'!$B$2:$O$102,1,6)</f>
        <v>600-8308</v>
      </c>
      <c r="L10" s="277" t="str">
        <f>INDEX('参加者データ（要入力）'!$B$2:$O$102,1,6)</f>
        <v>600-8308</v>
      </c>
      <c r="M10" s="278" t="str">
        <f>INDEX('参加者データ（要入力）'!$B$2:$O$102,1,6)</f>
        <v>600-8308</v>
      </c>
      <c r="N10" s="99">
        <f>IF(INDEX('参加者データ（要入力）'!$B$3:$O$102,3,13)="","",INDEX('参加者データ（要入力）'!$B$3:$O$102,3,13))</f>
      </c>
      <c r="O10" s="284"/>
      <c r="P10" s="288"/>
      <c r="Q10" s="289"/>
      <c r="R10" s="290"/>
    </row>
    <row r="11" spans="1:18" s="171" customFormat="1" ht="19.5" customHeight="1">
      <c r="A11" s="291">
        <v>4</v>
      </c>
      <c r="B11" s="161">
        <f>IF(INDEX('参加者データ（要入力）'!$B$3:$O$102,4,2)="","",INDEX('参加者データ（要入力）'!$B$3:$O$102,4,2))</f>
      </c>
      <c r="C11" s="294">
        <f>IF(INDEX('参加者データ（要入力）'!$B$3:$O$102,4,3)="","",INDEX('参加者データ（要入力）'!$B$3:$O$102,4,3))</f>
      </c>
      <c r="D11" s="317">
        <f>IF(INDEX('参加者データ（要入力）'!$B$3:$O$102,4,4)="","",INDEX('参加者データ（要入力）'!$B$3:$O$102,4,4))</f>
      </c>
      <c r="E11" s="162">
        <f>IF(INDEX('参加者データ（要入力）'!$B$3:$O$102,4,5)="","",INDEX('参加者データ（要入力）'!$B$3:$O$102,4,5))</f>
      </c>
      <c r="F11" s="292">
        <f>IF(INDEX('参加者データ（要入力）'!$B$3:$O$102,4,9)="","",INDEX('参加者データ（要入力）'!$B$3:$O$102,4,9))</f>
      </c>
      <c r="G11" s="163"/>
      <c r="H11" s="164"/>
      <c r="I11" s="165">
        <f>IF(INDEX('参加者データ（要入力）'!$B$3:$O$102,4,11)="","",INDEX('参加者データ（要入力）'!$B$3:$O$102,4,11))</f>
      </c>
      <c r="J11" s="166" t="s">
        <v>96</v>
      </c>
      <c r="K11" s="167">
        <f>IF(INDEX('参加者データ（要入力）'!$B$3:$O$102,4,6)="","",INDEX('参加者データ（要入力）'!$B$3:$O$102,4,6))</f>
      </c>
      <c r="L11" s="168" t="s">
        <v>97</v>
      </c>
      <c r="M11" s="169">
        <f>IF(INDEX('参加者データ（要入力）'!$B$3:$O$102,4,8)="","",INDEX('参加者データ（要入力）'!$B$3:$O$102,4,8))</f>
      </c>
      <c r="N11" s="170">
        <f>IF(INDEX('参加者データ（要入力）'!$B$3:$O$102,4,12)="","",INDEX('参加者データ（要入力）'!$B$3:$O$102,4,12))</f>
      </c>
      <c r="O11" s="283">
        <f>IF(INDEX('参加者データ（要入力）'!$B$3:$P$102,4,14)="","",INDEX('参加者データ（要入力）'!$B$3:$P$102,4,14))</f>
      </c>
      <c r="P11" s="285">
        <f>IF(INDEX('参加者データ（要入力）'!$B$3:$P$102,4,15)="","",INDEX('参加者データ（要入力）'!$B$3:$P$102,4,15))</f>
      </c>
      <c r="Q11" s="286"/>
      <c r="R11" s="287"/>
    </row>
    <row r="12" spans="1:18" s="116" customFormat="1" ht="31.5" customHeight="1">
      <c r="A12" s="291"/>
      <c r="B12" s="120">
        <f>IF(INDEX('参加者データ（要入力）'!$B$3:$O$102,4,1)="","",INDEX('参加者データ（要入力）'!$B$3:$O$102,4,1))</f>
      </c>
      <c r="C12" s="246"/>
      <c r="D12" s="294"/>
      <c r="E12" s="125">
        <f>IF(INDEX('参加者データ（要入力）'!$B$3:$O$102,4,5)="","",INDEX('参加者データ（要入力）'!$B$3:$O$102,4,5))</f>
      </c>
      <c r="F12" s="293"/>
      <c r="G12" s="129" t="s">
        <v>98</v>
      </c>
      <c r="H12" s="134">
        <f>IF(AND(C11="女",F11="A"),"尼","")</f>
      </c>
      <c r="I12" s="177">
        <f>IF(INDEX('参加者データ（要入力）'!$B$3:$O$102,4,10)="","",INDEX('参加者データ（要入力）'!$B$3:$O$102,4,10))</f>
      </c>
      <c r="J12" s="314">
        <f>IF(INDEX('参加者データ（要入力）'!$B$3:$O$102,4,7)="","",INDEX('参加者データ（要入力）'!$B$3:$O$102,4,7))</f>
      </c>
      <c r="K12" s="315" t="str">
        <f>INDEX('参加者データ（要入力）'!$B$2:$O$102,1,6)</f>
        <v>600-8308</v>
      </c>
      <c r="L12" s="315" t="str">
        <f>INDEX('参加者データ（要入力）'!$B$2:$O$102,1,6)</f>
        <v>600-8308</v>
      </c>
      <c r="M12" s="316" t="str">
        <f>INDEX('参加者データ（要入力）'!$B$2:$O$102,1,6)</f>
        <v>600-8308</v>
      </c>
      <c r="N12" s="109">
        <f>IF(INDEX('参加者データ（要入力）'!$B$3:$O$102,4,13)="","",INDEX('参加者データ（要入力）'!$B$3:$O$102,4,13))</f>
      </c>
      <c r="O12" s="284"/>
      <c r="P12" s="288"/>
      <c r="Q12" s="289"/>
      <c r="R12" s="290"/>
    </row>
    <row r="13" spans="1:18" s="152" customFormat="1" ht="19.5" customHeight="1">
      <c r="A13" s="279">
        <v>5</v>
      </c>
      <c r="B13" s="153">
        <f>IF(INDEX('参加者データ（要入力）'!$B$3:$O$102,5,2)="","",INDEX('参加者データ（要入力）'!$B$3:$O$102,5,2))</f>
      </c>
      <c r="C13" s="280">
        <f>IF(INDEX('参加者データ（要入力）'!$B$3:$O$102,5,3)="","",INDEX('参加者データ（要入力）'!$B$3:$O$102,5,3))</f>
      </c>
      <c r="D13" s="309">
        <f>IF(INDEX('参加者データ（要入力）'!$B$3:$O$102,5,4)="","",INDEX('参加者データ（要入力）'!$B$3:$O$102,5,4))</f>
      </c>
      <c r="E13" s="143">
        <f>IF(INDEX('参加者データ（要入力）'!$B$3:$O$102,5,5)="","",INDEX('参加者データ（要入力）'!$B$3:$O$102,5,5))</f>
      </c>
      <c r="F13" s="274">
        <f>IF(INDEX('参加者データ（要入力）'!$B$3:$O$102,5,9)="","",INDEX('参加者データ（要入力）'!$B$3:$O$102,5,9))</f>
      </c>
      <c r="G13" s="144"/>
      <c r="H13" s="145"/>
      <c r="I13" s="155">
        <f>IF(INDEX('参加者データ（要入力）'!$B$3:$O$102,5,11)="","",INDEX('参加者データ（要入力）'!$B$3:$O$102,5,11))</f>
      </c>
      <c r="J13" s="156" t="s">
        <v>96</v>
      </c>
      <c r="K13" s="157">
        <f>IF(INDEX('参加者データ（要入力）'!$B$3:$O$102,5,6)="","",INDEX('参加者データ（要入力）'!$B$3:$O$102,5,6))</f>
      </c>
      <c r="L13" s="158" t="s">
        <v>97</v>
      </c>
      <c r="M13" s="159">
        <f>IF(INDEX('参加者データ（要入力）'!$B$3:$O$102,5,8)="","",INDEX('参加者データ（要入力）'!$B$3:$O$102,5,8))</f>
      </c>
      <c r="N13" s="160">
        <f>IF(INDEX('参加者データ（要入力）'!$B$3:$O$102,5,12)="","",INDEX('参加者データ（要入力）'!$B$3:$O$102,5,12))</f>
      </c>
      <c r="O13" s="283">
        <f>IF(INDEX('参加者データ（要入力）'!$B$3:$P$102,5,14)="","",INDEX('参加者データ（要入力）'!$B$3:$P$102,5,14))</f>
      </c>
      <c r="P13" s="285">
        <f>IF(INDEX('参加者データ（要入力）'!$B$3:$P$102,5,15)="","",INDEX('参加者データ（要入力）'!$B$3:$P$102,5,15))</f>
      </c>
      <c r="Q13" s="286"/>
      <c r="R13" s="287"/>
    </row>
    <row r="14" spans="1:18" ht="31.5" customHeight="1">
      <c r="A14" s="279"/>
      <c r="B14" s="117">
        <f>IF(INDEX('参加者データ（要入力）'!$B$3:$O$102,5,1)="","",INDEX('参加者データ（要入力）'!$B$3:$O$102,5,1))</f>
      </c>
      <c r="C14" s="237"/>
      <c r="D14" s="280"/>
      <c r="E14" s="124">
        <f>IF(INDEX('参加者データ（要入力）'!$B$3:$O$102,5,5)="","",INDEX('参加者データ（要入力）'!$B$3:$O$102,5,5))</f>
      </c>
      <c r="F14" s="275"/>
      <c r="G14" s="127" t="s">
        <v>98</v>
      </c>
      <c r="H14" s="132">
        <f>IF(AND(C13="女",F13="A"),"尼","")</f>
      </c>
      <c r="I14" s="176">
        <f>IF(INDEX('参加者データ（要入力）'!$B$3:$O$102,5,10)="","",INDEX('参加者データ（要入力）'!$B$3:$O$102,5,10))</f>
      </c>
      <c r="J14" s="276">
        <f>IF(INDEX('参加者データ（要入力）'!$B$3:$O$102,5,7)="","",INDEX('参加者データ（要入力）'!$B$3:$O$102,5,7))</f>
      </c>
      <c r="K14" s="277" t="str">
        <f>INDEX('参加者データ（要入力）'!$B$2:$O$102,1,6)</f>
        <v>600-8308</v>
      </c>
      <c r="L14" s="277" t="str">
        <f>INDEX('参加者データ（要入力）'!$B$2:$O$102,1,6)</f>
        <v>600-8308</v>
      </c>
      <c r="M14" s="278" t="str">
        <f>INDEX('参加者データ（要入力）'!$B$2:$O$102,1,6)</f>
        <v>600-8308</v>
      </c>
      <c r="N14" s="99">
        <f>IF(INDEX('参加者データ（要入力）'!$B$3:$O$102,5,13)="","",INDEX('参加者データ（要入力）'!$B$3:$O$102,5,13))</f>
      </c>
      <c r="O14" s="284"/>
      <c r="P14" s="288"/>
      <c r="Q14" s="289"/>
      <c r="R14" s="290"/>
    </row>
    <row r="15" spans="1:18" s="152" customFormat="1" ht="19.5" customHeight="1">
      <c r="A15" s="279">
        <v>6</v>
      </c>
      <c r="B15" s="153">
        <f>IF(INDEX('参加者データ（要入力）'!$B$3:$O$102,6,2)="","",INDEX('参加者データ（要入力）'!$B$3:$O$102,6,2))</f>
      </c>
      <c r="C15" s="280">
        <f>IF(INDEX('参加者データ（要入力）'!$B$3:$O$102,6,3)="","",INDEX('参加者データ（要入力）'!$B$3:$O$102,6,3))</f>
      </c>
      <c r="D15" s="280">
        <f>IF(INDEX('参加者データ（要入力）'!$B$3:$O$102,6,4)="","",INDEX('参加者データ（要入力）'!$B$3:$O$102,6,4))</f>
      </c>
      <c r="E15" s="143">
        <f>IF(INDEX('参加者データ（要入力）'!$B$3:$O$102,6,5)="","",INDEX('参加者データ（要入力）'!$B$3:$O$102,6,5))</f>
      </c>
      <c r="F15" s="274">
        <f>IF(INDEX('参加者データ（要入力）'!$B$3:$O$102,6,9)="","",INDEX('参加者データ（要入力）'!$B$3:$O$102,6,9))</f>
      </c>
      <c r="G15" s="144"/>
      <c r="H15" s="145"/>
      <c r="I15" s="155">
        <f>IF(INDEX('参加者データ（要入力）'!$B$3:$O$102,6,11)="","",INDEX('参加者データ（要入力）'!$B$3:$O$102,6,11))</f>
      </c>
      <c r="J15" s="156" t="s">
        <v>96</v>
      </c>
      <c r="K15" s="157">
        <f>IF(INDEX('参加者データ（要入力）'!$B$3:$O$102,6,6)="","",INDEX('参加者データ（要入力）'!$B$3:$O$102,6,6))</f>
      </c>
      <c r="L15" s="158" t="s">
        <v>97</v>
      </c>
      <c r="M15" s="159">
        <f>IF(INDEX('参加者データ（要入力）'!$B$3:$O$102,6,8)="","",INDEX('参加者データ（要入力）'!$B$3:$O$102,6,8))</f>
      </c>
      <c r="N15" s="160">
        <f>IF(INDEX('参加者データ（要入力）'!$B$3:$O$102,6,12)="","",INDEX('参加者データ（要入力）'!$B$3:$O$102,6,12))</f>
      </c>
      <c r="O15" s="283">
        <f>IF(INDEX('参加者データ（要入力）'!$B$3:$P$102,6,14)="","",INDEX('参加者データ（要入力）'!$B$3:$P$102,6,14))</f>
      </c>
      <c r="P15" s="285">
        <f>IF(INDEX('参加者データ（要入力）'!$B$3:$P$102,6,15)="","",INDEX('参加者データ（要入力）'!$B$3:$P$102,6,15))</f>
      </c>
      <c r="Q15" s="286"/>
      <c r="R15" s="287"/>
    </row>
    <row r="16" spans="1:18" ht="31.5" customHeight="1">
      <c r="A16" s="279"/>
      <c r="B16" s="117">
        <f>IF(INDEX('参加者データ（要入力）'!$B$3:$O$102,6,1)="","",INDEX('参加者データ（要入力）'!$B$3:$O$102,6,1))</f>
      </c>
      <c r="C16" s="237"/>
      <c r="D16" s="237"/>
      <c r="E16" s="124">
        <f>IF(INDEX('参加者データ（要入力）'!$B$3:$O$102,6,5)="","",INDEX('参加者データ（要入力）'!$B$3:$O$102,6,5))</f>
      </c>
      <c r="F16" s="275"/>
      <c r="G16" s="127" t="s">
        <v>98</v>
      </c>
      <c r="H16" s="132">
        <f>IF(AND(C15="女",F15="A"),"尼","")</f>
      </c>
      <c r="I16" s="176">
        <f>IF(INDEX('参加者データ（要入力）'!$B$3:$O$102,6,10)="","",INDEX('参加者データ（要入力）'!$B$3:$O$102,6,10))</f>
      </c>
      <c r="J16" s="276">
        <f>IF(INDEX('参加者データ（要入力）'!$B$3:$O$102,6,7)="","",INDEX('参加者データ（要入力）'!$B$3:$O$102,6,7))</f>
      </c>
      <c r="K16" s="277" t="str">
        <f>INDEX('参加者データ（要入力）'!$B$2:$O$102,1,6)</f>
        <v>600-8308</v>
      </c>
      <c r="L16" s="277" t="str">
        <f>INDEX('参加者データ（要入力）'!$B$2:$O$102,1,6)</f>
        <v>600-8308</v>
      </c>
      <c r="M16" s="278" t="str">
        <f>INDEX('参加者データ（要入力）'!$B$2:$O$102,1,6)</f>
        <v>600-8308</v>
      </c>
      <c r="N16" s="99">
        <f>IF(INDEX('参加者データ（要入力）'!$B$3:$O$102,6,13)="","",INDEX('参加者データ（要入力）'!$B$3:$O$102,6,13))</f>
      </c>
      <c r="O16" s="284"/>
      <c r="P16" s="288"/>
      <c r="Q16" s="289"/>
      <c r="R16" s="290"/>
    </row>
    <row r="17" spans="1:18" s="152" customFormat="1" ht="19.5" customHeight="1">
      <c r="A17" s="279">
        <v>7</v>
      </c>
      <c r="B17" s="153">
        <f>IF(INDEX('参加者データ（要入力）'!$B$3:$O$102,7,2)="","",INDEX('参加者データ（要入力）'!$B$3:$O$102,7,2))</f>
      </c>
      <c r="C17" s="280">
        <f>IF(INDEX('参加者データ（要入力）'!$B$3:$O$102,7,3)="","",INDEX('参加者データ（要入力）'!$B$3:$O$102,7,3))</f>
      </c>
      <c r="D17" s="237">
        <f>IF(INDEX('参加者データ（要入力）'!$B$3:$O$102,7,4)="","",INDEX('参加者データ（要入力）'!$B$3:$O$102,7,4))</f>
      </c>
      <c r="E17" s="143">
        <f>IF(INDEX('参加者データ（要入力）'!$B$3:$O$102,7,5)="","",INDEX('参加者データ（要入力）'!$B$3:$O$102,7,5))</f>
      </c>
      <c r="F17" s="274">
        <f>IF(INDEX('参加者データ（要入力）'!$B$3:$O$102,7,9)="","",INDEX('参加者データ（要入力）'!$B$3:$O$102,7,9))</f>
      </c>
      <c r="G17" s="144"/>
      <c r="H17" s="145"/>
      <c r="I17" s="155">
        <f>IF(INDEX('参加者データ（要入力）'!$B$3:$O$102,7,11)="","",INDEX('参加者データ（要入力）'!$B$3:$O$102,7,11))</f>
      </c>
      <c r="J17" s="156" t="s">
        <v>96</v>
      </c>
      <c r="K17" s="157">
        <f>IF(INDEX('参加者データ（要入力）'!$B$3:$O$102,7,6)="","",INDEX('参加者データ（要入力）'!$B$3:$O$102,7,6))</f>
      </c>
      <c r="L17" s="158" t="s">
        <v>97</v>
      </c>
      <c r="M17" s="159">
        <f>IF(INDEX('参加者データ（要入力）'!$B$3:$O$102,7,8)="","",INDEX('参加者データ（要入力）'!$B$3:$O$102,7,8))</f>
      </c>
      <c r="N17" s="160">
        <f>IF(INDEX('参加者データ（要入力）'!$B$3:$O$102,7,12)="","",INDEX('参加者データ（要入力）'!$B$3:$O$102,7,12))</f>
      </c>
      <c r="O17" s="283">
        <f>IF(INDEX('参加者データ（要入力）'!$B$3:$P$102,7,14)="","",INDEX('参加者データ（要入力）'!$B$3:$P$102,7,14))</f>
      </c>
      <c r="P17" s="285">
        <f>IF(INDEX('参加者データ（要入力）'!$B$3:$P$102,7,15)="","",INDEX('参加者データ（要入力）'!$B$3:$P$102,7,15))</f>
      </c>
      <c r="Q17" s="286"/>
      <c r="R17" s="287"/>
    </row>
    <row r="18" spans="1:18" ht="31.5" customHeight="1">
      <c r="A18" s="279"/>
      <c r="B18" s="117">
        <f>IF(INDEX('参加者データ（要入力）'!$B$3:$O$102,7,1)="","",INDEX('参加者データ（要入力）'!$B$3:$O$102,7,1))</f>
      </c>
      <c r="C18" s="237"/>
      <c r="D18" s="237"/>
      <c r="E18" s="124">
        <f>IF(INDEX('参加者データ（要入力）'!$B$3:$O$102,7,5)="","",INDEX('参加者データ（要入力）'!$B$3:$O$102,7,5))</f>
      </c>
      <c r="F18" s="275"/>
      <c r="G18" s="127" t="s">
        <v>98</v>
      </c>
      <c r="H18" s="132">
        <f>IF(AND(C17="女",F17="A"),"尼","")</f>
      </c>
      <c r="I18" s="176">
        <f>IF(INDEX('参加者データ（要入力）'!$B$3:$O$102,7,10)="","",INDEX('参加者データ（要入力）'!$B$3:$O$102,7,10))</f>
      </c>
      <c r="J18" s="276">
        <f>IF(INDEX('参加者データ（要入力）'!$B$3:$O$102,7,7)="","",INDEX('参加者データ（要入力）'!$B$3:$O$102,7,7))</f>
      </c>
      <c r="K18" s="277" t="str">
        <f>INDEX('参加者データ（要入力）'!$B$2:$O$102,1,6)</f>
        <v>600-8308</v>
      </c>
      <c r="L18" s="277" t="str">
        <f>INDEX('参加者データ（要入力）'!$B$2:$O$102,1,6)</f>
        <v>600-8308</v>
      </c>
      <c r="M18" s="278" t="str">
        <f>INDEX('参加者データ（要入力）'!$B$2:$O$102,1,6)</f>
        <v>600-8308</v>
      </c>
      <c r="N18" s="99">
        <f>IF(INDEX('参加者データ（要入力）'!$B$3:$O$102,7,13)="","",INDEX('参加者データ（要入力）'!$B$3:$O$102,7,13))</f>
      </c>
      <c r="O18" s="284"/>
      <c r="P18" s="288"/>
      <c r="Q18" s="289"/>
      <c r="R18" s="290"/>
    </row>
    <row r="19" spans="1:18" s="152" customFormat="1" ht="19.5" customHeight="1">
      <c r="A19" s="279">
        <v>8</v>
      </c>
      <c r="B19" s="153">
        <f>IF(INDEX('参加者データ（要入力）'!$B$3:$O$102,8,2)="","",INDEX('参加者データ（要入力）'!$B$3:$O$102,8,2))</f>
      </c>
      <c r="C19" s="280">
        <f>IF(INDEX('参加者データ（要入力）'!$B$3:$O$102,8,3)="","",INDEX('参加者データ（要入力）'!$B$3:$O$102,8,3))</f>
      </c>
      <c r="D19" s="280">
        <f>IF(INDEX('参加者データ（要入力）'!$B$3:$O$102,8,4)="","",INDEX('参加者データ（要入力）'!$B$3:$O$102,8,4))</f>
      </c>
      <c r="E19" s="143">
        <f>IF(INDEX('参加者データ（要入力）'!$B$3:$O$102,8,5)="","",INDEX('参加者データ（要入力）'!$B$3:$O$102,8,5))</f>
      </c>
      <c r="F19" s="274">
        <f>IF(INDEX('参加者データ（要入力）'!$B$3:$O$102,8,9)="","",INDEX('参加者データ（要入力）'!$B$3:$O$102,8,9))</f>
      </c>
      <c r="G19" s="144"/>
      <c r="H19" s="145"/>
      <c r="I19" s="155">
        <f>IF(INDEX('参加者データ（要入力）'!$B$3:$O$102,8,11)="","",INDEX('参加者データ（要入力）'!$B$3:$O$102,8,11))</f>
      </c>
      <c r="J19" s="156" t="s">
        <v>96</v>
      </c>
      <c r="K19" s="157">
        <f>IF(INDEX('参加者データ（要入力）'!$B$3:$O$102,8,6)="","",INDEX('参加者データ（要入力）'!$B$3:$O$102,8,6))</f>
      </c>
      <c r="L19" s="158" t="s">
        <v>97</v>
      </c>
      <c r="M19" s="159">
        <f>IF(INDEX('参加者データ（要入力）'!$B$3:$O$102,8,8)="","",INDEX('参加者データ（要入力）'!$B$3:$O$102,8,8))</f>
      </c>
      <c r="N19" s="160">
        <f>IF(INDEX('参加者データ（要入力）'!$B$3:$O$102,8,12)="","",INDEX('参加者データ（要入力）'!$B$3:$O$102,8,12))</f>
      </c>
      <c r="O19" s="283">
        <f>IF(INDEX('参加者データ（要入力）'!$B$3:$P$102,8,14)="","",INDEX('参加者データ（要入力）'!$B$3:$P$102,8,14))</f>
      </c>
      <c r="P19" s="285">
        <f>IF(INDEX('参加者データ（要入力）'!$B$3:$P$102,8,15)="","",INDEX('参加者データ（要入力）'!$B$3:$P$102,8,15))</f>
      </c>
      <c r="Q19" s="286"/>
      <c r="R19" s="287"/>
    </row>
    <row r="20" spans="1:18" ht="31.5" customHeight="1">
      <c r="A20" s="279"/>
      <c r="B20" s="117">
        <f>IF(INDEX('参加者データ（要入力）'!$B$3:$O$102,8,1)="","",INDEX('参加者データ（要入力）'!$B$3:$O$102,8,1))</f>
      </c>
      <c r="C20" s="237"/>
      <c r="D20" s="237"/>
      <c r="E20" s="124">
        <f>IF(INDEX('参加者データ（要入力）'!$B$3:$O$102,8,5)="","",INDEX('参加者データ（要入力）'!$B$3:$O$102,8,5))</f>
      </c>
      <c r="F20" s="275"/>
      <c r="G20" s="127" t="s">
        <v>98</v>
      </c>
      <c r="H20" s="132">
        <f>IF(AND(C19="女",F19="A"),"尼","")</f>
      </c>
      <c r="I20" s="176">
        <f>IF(INDEX('参加者データ（要入力）'!$B$3:$O$102,8,10)="","",INDEX('参加者データ（要入力）'!$B$3:$O$102,8,10))</f>
      </c>
      <c r="J20" s="276">
        <f>IF(INDEX('参加者データ（要入力）'!$B$3:$O$102,8,7)="","",INDEX('参加者データ（要入力）'!$B$3:$O$102,8,7))</f>
      </c>
      <c r="K20" s="277" t="str">
        <f>INDEX('参加者データ（要入力）'!$B$2:$O$102,1,6)</f>
        <v>600-8308</v>
      </c>
      <c r="L20" s="277" t="str">
        <f>INDEX('参加者データ（要入力）'!$B$2:$O$102,1,6)</f>
        <v>600-8308</v>
      </c>
      <c r="M20" s="278" t="str">
        <f>INDEX('参加者データ（要入力）'!$B$2:$O$102,1,6)</f>
        <v>600-8308</v>
      </c>
      <c r="N20" s="99">
        <f>IF(INDEX('参加者データ（要入力）'!$B$3:$O$102,8,13)="","",INDEX('参加者データ（要入力）'!$B$3:$O$102,8,13))</f>
      </c>
      <c r="O20" s="284"/>
      <c r="P20" s="288"/>
      <c r="Q20" s="289"/>
      <c r="R20" s="290"/>
    </row>
    <row r="21" spans="1:18" s="152" customFormat="1" ht="19.5" customHeight="1">
      <c r="A21" s="279">
        <v>9</v>
      </c>
      <c r="B21" s="153">
        <f>IF(INDEX('参加者データ（要入力）'!$B$3:$O$102,9,2)="","",INDEX('参加者データ（要入力）'!$B$3:$O$102,9,2))</f>
      </c>
      <c r="C21" s="280">
        <f>IF(INDEX('参加者データ（要入力）'!$B$3:$O$102,9,3)="","",INDEX('参加者データ（要入力）'!$B$3:$O$102,9,3))</f>
      </c>
      <c r="D21" s="237">
        <f>IF(INDEX('参加者データ（要入力）'!$B$3:$O$102,9,4)="","",INDEX('参加者データ（要入力）'!$B$3:$O$102,9,4))</f>
      </c>
      <c r="E21" s="143">
        <f>IF(INDEX('参加者データ（要入力）'!$B$3:$O$102,9,5)="","",INDEX('参加者データ（要入力）'!$B$3:$O$102,9,5))</f>
      </c>
      <c r="F21" s="274">
        <f>IF(INDEX('参加者データ（要入力）'!$B$3:$O$102,9,9)="","",INDEX('参加者データ（要入力）'!$B$3:$O$102,9,9))</f>
      </c>
      <c r="G21" s="144"/>
      <c r="H21" s="145"/>
      <c r="I21" s="155">
        <f>IF(INDEX('参加者データ（要入力）'!$B$3:$O$102,9,11)="","",INDEX('参加者データ（要入力）'!$B$3:$O$102,9,11))</f>
      </c>
      <c r="J21" s="156" t="s">
        <v>96</v>
      </c>
      <c r="K21" s="157">
        <f>IF(INDEX('参加者データ（要入力）'!$B$3:$O$102,9,6)="","",INDEX('参加者データ（要入力）'!$B$3:$O$102,9,6))</f>
      </c>
      <c r="L21" s="158" t="s">
        <v>97</v>
      </c>
      <c r="M21" s="159">
        <f>IF(INDEX('参加者データ（要入力）'!$B$3:$O$102,9,8)="","",INDEX('参加者データ（要入力）'!$B$3:$O$102,9,8))</f>
      </c>
      <c r="N21" s="160">
        <f>IF(INDEX('参加者データ（要入力）'!$B$3:$O$102,9,12)="","",INDEX('参加者データ（要入力）'!$B$3:$O$102,9,12))</f>
      </c>
      <c r="O21" s="283">
        <f>IF(INDEX('参加者データ（要入力）'!$B$3:$P$102,9,14)="","",INDEX('参加者データ（要入力）'!$B$3:$P$102,9,14))</f>
      </c>
      <c r="P21" s="285">
        <f>IF(INDEX('参加者データ（要入力）'!$B$3:$P$102,9,15)="","",INDEX('参加者データ（要入力）'!$B$3:$P$102,9,15))</f>
      </c>
      <c r="Q21" s="286"/>
      <c r="R21" s="287"/>
    </row>
    <row r="22" spans="1:18" ht="31.5" customHeight="1">
      <c r="A22" s="279"/>
      <c r="B22" s="117">
        <f>IF(INDEX('参加者データ（要入力）'!$B$3:$O$102,9,1)="","",INDEX('参加者データ（要入力）'!$B$3:$O$102,9,1))</f>
      </c>
      <c r="C22" s="237"/>
      <c r="D22" s="237"/>
      <c r="E22" s="124">
        <f>IF(INDEX('参加者データ（要入力）'!$B$3:$O$102,9,5)="","",INDEX('参加者データ（要入力）'!$B$3:$O$102,9,5))</f>
      </c>
      <c r="F22" s="275"/>
      <c r="G22" s="127" t="s">
        <v>98</v>
      </c>
      <c r="H22" s="132">
        <f>IF(AND(C21="女",F21="A"),"尼","")</f>
      </c>
      <c r="I22" s="176">
        <f>IF(INDEX('参加者データ（要入力）'!$B$3:$O$102,9,10)="","",INDEX('参加者データ（要入力）'!$B$3:$O$102,9,10))</f>
      </c>
      <c r="J22" s="276">
        <f>IF(INDEX('参加者データ（要入力）'!$B$3:$O$102,9,7)="","",INDEX('参加者データ（要入力）'!$B$3:$O$102,9,7))</f>
      </c>
      <c r="K22" s="277" t="str">
        <f>INDEX('参加者データ（要入力）'!$B$2:$O$102,1,6)</f>
        <v>600-8308</v>
      </c>
      <c r="L22" s="277" t="str">
        <f>INDEX('参加者データ（要入力）'!$B$2:$O$102,1,6)</f>
        <v>600-8308</v>
      </c>
      <c r="M22" s="278" t="str">
        <f>INDEX('参加者データ（要入力）'!$B$2:$O$102,1,6)</f>
        <v>600-8308</v>
      </c>
      <c r="N22" s="99">
        <f>IF(INDEX('参加者データ（要入力）'!$B$3:$O$102,9,13)="","",INDEX('参加者データ（要入力）'!$B$3:$O$102,9,13))</f>
      </c>
      <c r="O22" s="284"/>
      <c r="P22" s="288"/>
      <c r="Q22" s="289"/>
      <c r="R22" s="290"/>
    </row>
    <row r="23" spans="1:18" s="152" customFormat="1" ht="19.5" customHeight="1">
      <c r="A23" s="281">
        <v>10</v>
      </c>
      <c r="B23" s="153">
        <f>IF(INDEX('参加者データ（要入力）'!$B$3:$O$102,10,2)="","",INDEX('参加者データ（要入力）'!$B$3:$O$102,10,2))</f>
      </c>
      <c r="C23" s="280">
        <f>IF(INDEX('参加者データ（要入力）'!$B$3:$O$102,10,3)="","",INDEX('参加者データ（要入力）'!$B$3:$O$102,10,3))</f>
      </c>
      <c r="D23" s="309">
        <f>IF(INDEX('参加者データ（要入力）'!$B$3:$O$102,10,4)="","",INDEX('参加者データ（要入力）'!$B$3:$O$102,10,4))</f>
      </c>
      <c r="E23" s="143">
        <f>IF(INDEX('参加者データ（要入力）'!$B$3:$O$102,10,5)="","",INDEX('参加者データ（要入力）'!$B$3:$O$102,10,5))</f>
      </c>
      <c r="F23" s="274">
        <f>IF(INDEX('参加者データ（要入力）'!$B$3:$O$102,10,9)="","",INDEX('参加者データ（要入力）'!$B$3:$O$102,10,9))</f>
      </c>
      <c r="G23" s="144"/>
      <c r="H23" s="145"/>
      <c r="I23" s="155">
        <f>IF(INDEX('参加者データ（要入力）'!$B$3:$O$102,10,11)="","",INDEX('参加者データ（要入力）'!$B$3:$O$102,10,11))</f>
      </c>
      <c r="J23" s="156" t="s">
        <v>96</v>
      </c>
      <c r="K23" s="157">
        <f>IF(INDEX('参加者データ（要入力）'!$B$3:$O$102,10,6)="","",INDEX('参加者データ（要入力）'!$B$3:$O$102,10,6))</f>
      </c>
      <c r="L23" s="158" t="s">
        <v>97</v>
      </c>
      <c r="M23" s="159">
        <f>IF(INDEX('参加者データ（要入力）'!$B$3:$O$102,10,8)="","",INDEX('参加者データ（要入力）'!$B$3:$O$102,10,8))</f>
      </c>
      <c r="N23" s="160">
        <f>IF(INDEX('参加者データ（要入力）'!$B$3:$O$102,10,12)="","",INDEX('参加者データ（要入力）'!$B$3:$O$102,10,12))</f>
      </c>
      <c r="O23" s="283">
        <f>IF(INDEX('参加者データ（要入力）'!$B$3:$P$102,10,14)="","",INDEX('参加者データ（要入力）'!$B$3:$P$102,10,14))</f>
      </c>
      <c r="P23" s="285">
        <f>IF(INDEX('参加者データ（要入力）'!$B$3:$P$102,10,15)="","",INDEX('参加者データ（要入力）'!$B$3:$P$102,10,15))</f>
      </c>
      <c r="Q23" s="286"/>
      <c r="R23" s="287"/>
    </row>
    <row r="24" spans="1:18" ht="31.5" customHeight="1">
      <c r="A24" s="282"/>
      <c r="B24" s="117">
        <f>IF(INDEX('参加者データ（要入力）'!$B$3:$O$102,10,1)="","",INDEX('参加者データ（要入力）'!$B$3:$O$102,10,1))</f>
      </c>
      <c r="C24" s="237"/>
      <c r="D24" s="280"/>
      <c r="E24" s="122">
        <f>IF(INDEX('参加者データ（要入力）'!$B$3:$O$102,10,5)="","",INDEX('参加者データ（要入力）'!$B$3:$O$102,10,5))</f>
      </c>
      <c r="F24" s="275"/>
      <c r="G24" s="127" t="s">
        <v>98</v>
      </c>
      <c r="H24" s="132">
        <f>IF(AND(C23="女",F23="A"),"尼","")</f>
      </c>
      <c r="I24" s="176">
        <f>IF(INDEX('参加者データ（要入力）'!$B$3:$O$102,10,10)="","",INDEX('参加者データ（要入力）'!$B$3:$O$102,10,10))</f>
      </c>
      <c r="J24" s="276">
        <f>IF(INDEX('参加者データ（要入力）'!$B$3:$O$102,10,7)="","",INDEX('参加者データ（要入力）'!$B$3:$O$102,10,7))</f>
      </c>
      <c r="K24" s="277" t="str">
        <f>INDEX('参加者データ（要入力）'!$B$2:$O$102,1,6)</f>
        <v>600-8308</v>
      </c>
      <c r="L24" s="277" t="str">
        <f>INDEX('参加者データ（要入力）'!$B$2:$O$102,1,6)</f>
        <v>600-8308</v>
      </c>
      <c r="M24" s="278" t="str">
        <f>INDEX('参加者データ（要入力）'!$B$2:$O$102,1,6)</f>
        <v>600-8308</v>
      </c>
      <c r="N24" s="99">
        <f>IF(INDEX('参加者データ（要入力）'!$B$3:$O$102,10,13)="","",INDEX('参加者データ（要入力）'!$B$3:$O$102,10,13))</f>
      </c>
      <c r="O24" s="284"/>
      <c r="P24" s="288"/>
      <c r="Q24" s="289"/>
      <c r="R24" s="290"/>
    </row>
    <row r="25" spans="1:18" ht="19.5" customHeight="1">
      <c r="A25" s="279">
        <v>11</v>
      </c>
      <c r="B25" s="118">
        <f>IF(INDEX('参加者データ（要入力）'!$B$3:$O$102,11,2)="","",INDEX('参加者データ（要入力）'!$B$3:$O$102,11,2))</f>
      </c>
      <c r="C25" s="280">
        <f>IF(INDEX('参加者データ（要入力）'!$B$3:$O$102,11,3)="","",INDEX('参加者データ（要入力）'!$B$3:$O$102,11,3))</f>
      </c>
      <c r="D25" s="237">
        <f>IF(INDEX('参加者データ（要入力）'!$B$3:$O$102,11,4)="","",INDEX('参加者データ（要入力）'!$B$3:$O$102,11,4))</f>
      </c>
      <c r="E25" s="121">
        <f>IF(INDEX('参加者データ（要入力）'!$B$3:$O$102,11,5)="","",INDEX('参加者データ（要入力）'!$B$3:$O$102,11,5))</f>
      </c>
      <c r="F25" s="274">
        <f>IF(INDEX('参加者データ（要入力）'!$B$3:$O$102,11,9)="","",INDEX('参加者データ（要入力）'!$B$3:$O$102,11,9))</f>
      </c>
      <c r="G25" s="126"/>
      <c r="H25" s="131"/>
      <c r="I25" s="96">
        <f>IF(INDEX('参加者データ（要入力）'!$B$3:$O$102,11,11)="","",INDEX('参加者データ（要入力）'!$B$3:$O$102,11,11))</f>
      </c>
      <c r="J25" s="86" t="s">
        <v>96</v>
      </c>
      <c r="K25" s="97">
        <f>IF(INDEX('参加者データ（要入力）'!$B$3:$O$102,11,6)="","",INDEX('参加者データ（要入力）'!$B$3:$O$102,11,6))</f>
      </c>
      <c r="L25" s="87" t="s">
        <v>97</v>
      </c>
      <c r="M25" s="98">
        <f>IF(INDEX('参加者データ（要入力）'!$B$3:$O$102,11,8)="","",INDEX('参加者データ（要入力）'!$B$3:$O$102,11,8))</f>
      </c>
      <c r="N25" s="95">
        <f>IF(INDEX('参加者データ（要入力）'!$B$3:$O$102,11,12)="","",INDEX('参加者データ（要入力）'!$B$3:$O$102,11,12))</f>
      </c>
      <c r="O25" s="283">
        <f>IF(INDEX('参加者データ（要入力）'!$B$3:$P$102,11,14)="","",INDEX('参加者データ（要入力）'!$B$3:$P$102,11,14))</f>
      </c>
      <c r="P25" s="285">
        <f>IF(INDEX('参加者データ（要入力）'!$B$3:$P$102,11,15)="","",INDEX('参加者データ（要入力）'!$B$3:$P$102,11,15))</f>
      </c>
      <c r="Q25" s="286"/>
      <c r="R25" s="287"/>
    </row>
    <row r="26" spans="1:18" ht="31.5" customHeight="1">
      <c r="A26" s="279"/>
      <c r="B26" s="117">
        <f>IF(INDEX('参加者データ（要入力）'!$B$3:$O$102,11,1)="","",INDEX('参加者データ（要入力）'!$B$3:$O$102,11,1))</f>
      </c>
      <c r="C26" s="237"/>
      <c r="D26" s="237"/>
      <c r="E26" s="124">
        <f>IF(INDEX('参加者データ（要入力）'!$B$3:$O$102,11,5)="","",INDEX('参加者データ（要入力）'!$B$3:$O$102,11,5))</f>
      </c>
      <c r="F26" s="275"/>
      <c r="G26" s="127" t="s">
        <v>98</v>
      </c>
      <c r="H26" s="132">
        <f>IF(AND(C25="女",F25="A"),"尼","")</f>
      </c>
      <c r="I26" s="176">
        <f>IF(INDEX('参加者データ（要入力）'!$B$3:$O$102,11,10)="","",INDEX('参加者データ（要入力）'!$B$3:$O$102,11,10))</f>
      </c>
      <c r="J26" s="276">
        <f>IF(INDEX('参加者データ（要入力）'!$B$3:$O$102,11,7)="","",INDEX('参加者データ（要入力）'!$B$3:$O$102,11,7))</f>
      </c>
      <c r="K26" s="277" t="str">
        <f>INDEX('参加者データ（要入力）'!$B$2:$O$102,1,6)</f>
        <v>600-8308</v>
      </c>
      <c r="L26" s="277" t="str">
        <f>INDEX('参加者データ（要入力）'!$B$2:$O$102,1,6)</f>
        <v>600-8308</v>
      </c>
      <c r="M26" s="278" t="str">
        <f>INDEX('参加者データ（要入力）'!$B$2:$O$102,1,6)</f>
        <v>600-8308</v>
      </c>
      <c r="N26" s="99">
        <f>IF(INDEX('参加者データ（要入力）'!$B$3:$O$102,11,13)="","",INDEX('参加者データ（要入力）'!$B$3:$O$102,11,13))</f>
      </c>
      <c r="O26" s="284"/>
      <c r="P26" s="288"/>
      <c r="Q26" s="289"/>
      <c r="R26" s="290"/>
    </row>
    <row r="27" spans="1:18" ht="19.5" customHeight="1">
      <c r="A27" s="279">
        <v>12</v>
      </c>
      <c r="B27" s="118">
        <f>IF(INDEX('参加者データ（要入力）'!$B$3:$O$102,12,2)="","",INDEX('参加者データ（要入力）'!$B$3:$O$102,12,2))</f>
      </c>
      <c r="C27" s="280">
        <f>IF(INDEX('参加者データ（要入力）'!$B$3:$O$102,12,3)="","",INDEX('参加者データ（要入力）'!$B$3:$O$102,12,3))</f>
      </c>
      <c r="D27" s="280">
        <f>IF(INDEX('参加者データ（要入力）'!$B$3:$O$102,12,4)="","",INDEX('参加者データ（要入力）'!$B$3:$O$102,12,4))</f>
      </c>
      <c r="E27" s="121">
        <f>IF(INDEX('参加者データ（要入力）'!$B$3:$O$102,12,5)="","",INDEX('参加者データ（要入力）'!$B$3:$O$102,12,5))</f>
      </c>
      <c r="F27" s="274">
        <f>IF(INDEX('参加者データ（要入力）'!$B$3:$O$102,12,9)="","",INDEX('参加者データ（要入力）'!$B$3:$O$102,12,9))</f>
      </c>
      <c r="G27" s="126"/>
      <c r="H27" s="131"/>
      <c r="I27" s="96">
        <f>IF(INDEX('参加者データ（要入力）'!$B$3:$O$102,12,11)="","",INDEX('参加者データ（要入力）'!$B$3:$O$102,12,11))</f>
      </c>
      <c r="J27" s="86" t="s">
        <v>96</v>
      </c>
      <c r="K27" s="97">
        <f>IF(INDEX('参加者データ（要入力）'!$B$3:$O$102,12,6)="","",INDEX('参加者データ（要入力）'!$B$3:$O$102,12,6))</f>
      </c>
      <c r="L27" s="87" t="s">
        <v>97</v>
      </c>
      <c r="M27" s="98">
        <f>IF(INDEX('参加者データ（要入力）'!$B$3:$O$102,12,8)="","",INDEX('参加者データ（要入力）'!$B$3:$O$102,12,8))</f>
      </c>
      <c r="N27" s="95">
        <f>IF(INDEX('参加者データ（要入力）'!$B$3:$O$102,12,12)="","",INDEX('参加者データ（要入力）'!$B$3:$O$102,12,12))</f>
      </c>
      <c r="O27" s="283">
        <f>IF(INDEX('参加者データ（要入力）'!$B$3:$P$102,12,14)="","",INDEX('参加者データ（要入力）'!$B$3:$P$102,12,14))</f>
      </c>
      <c r="P27" s="285">
        <f>IF(INDEX('参加者データ（要入力）'!$B$3:$P$102,12,15)="","",INDEX('参加者データ（要入力）'!$B$3:$P$102,12,15))</f>
      </c>
      <c r="Q27" s="286"/>
      <c r="R27" s="287"/>
    </row>
    <row r="28" spans="1:18" ht="31.5" customHeight="1">
      <c r="A28" s="279"/>
      <c r="B28" s="117">
        <f>IF(INDEX('参加者データ（要入力）'!$B$3:$O$102,12,1)="","",INDEX('参加者データ（要入力）'!$B$3:$O$102,12,1))</f>
      </c>
      <c r="C28" s="237"/>
      <c r="D28" s="237"/>
      <c r="E28" s="124">
        <f>IF(INDEX('参加者データ（要入力）'!$B$3:$O$102,12,5)="","",INDEX('参加者データ（要入力）'!$B$3:$O$102,12,5))</f>
      </c>
      <c r="F28" s="275"/>
      <c r="G28" s="127" t="s">
        <v>98</v>
      </c>
      <c r="H28" s="132">
        <f>IF(AND(C27="女",F27="A"),"尼","")</f>
      </c>
      <c r="I28" s="176">
        <f>IF(INDEX('参加者データ（要入力）'!$B$3:$O$102,12,10)="","",INDEX('参加者データ（要入力）'!$B$3:$O$102,12,10))</f>
      </c>
      <c r="J28" s="276">
        <f>IF(INDEX('参加者データ（要入力）'!$B$3:$O$102,12,7)="","",INDEX('参加者データ（要入力）'!$B$3:$O$102,12,7))</f>
      </c>
      <c r="K28" s="277" t="str">
        <f>INDEX('参加者データ（要入力）'!$B$2:$O$102,1,6)</f>
        <v>600-8308</v>
      </c>
      <c r="L28" s="277" t="str">
        <f>INDEX('参加者データ（要入力）'!$B$2:$O$102,1,6)</f>
        <v>600-8308</v>
      </c>
      <c r="M28" s="278" t="str">
        <f>INDEX('参加者データ（要入力）'!$B$2:$O$102,1,6)</f>
        <v>600-8308</v>
      </c>
      <c r="N28" s="99">
        <f>IF(INDEX('参加者データ（要入力）'!$B$3:$O$102,12,13)="","",INDEX('参加者データ（要入力）'!$B$3:$O$102,12,13))</f>
      </c>
      <c r="O28" s="284"/>
      <c r="P28" s="288"/>
      <c r="Q28" s="289"/>
      <c r="R28" s="290"/>
    </row>
    <row r="29" spans="1:18" ht="19.5" customHeight="1">
      <c r="A29" s="279">
        <v>13</v>
      </c>
      <c r="B29" s="118">
        <f>IF(INDEX('参加者データ（要入力）'!$B$3:$O$102,13,2)="","",INDEX('参加者データ（要入力）'!$B$3:$O$102,13,2))</f>
      </c>
      <c r="C29" s="280">
        <f>IF(INDEX('参加者データ（要入力）'!$B$3:$O$102,13,3)="","",INDEX('参加者データ（要入力）'!$B$3:$O$102,13,3))</f>
      </c>
      <c r="D29" s="237">
        <f>IF(INDEX('参加者データ（要入力）'!$B$3:$O$102,13,4)="","",INDEX('参加者データ（要入力）'!$B$3:$O$102,13,4))</f>
      </c>
      <c r="E29" s="121">
        <f>IF(INDEX('参加者データ（要入力）'!$B$3:$O$102,13,5)="","",INDEX('参加者データ（要入力）'!$B$3:$O$102,13,5))</f>
      </c>
      <c r="F29" s="274">
        <f>IF(INDEX('参加者データ（要入力）'!$B$3:$O$102,13,9)="","",INDEX('参加者データ（要入力）'!$B$3:$O$102,13,9))</f>
      </c>
      <c r="G29" s="126"/>
      <c r="H29" s="131"/>
      <c r="I29" s="96">
        <f>IF(INDEX('参加者データ（要入力）'!$B$3:$O$102,13,11)="","",INDEX('参加者データ（要入力）'!$B$3:$O$102,13,11))</f>
      </c>
      <c r="J29" s="86" t="s">
        <v>96</v>
      </c>
      <c r="K29" s="97">
        <f>IF(INDEX('参加者データ（要入力）'!$B$3:$O$102,13,6)="","",INDEX('参加者データ（要入力）'!$B$3:$O$102,13,6))</f>
      </c>
      <c r="L29" s="87" t="s">
        <v>97</v>
      </c>
      <c r="M29" s="98">
        <f>IF(INDEX('参加者データ（要入力）'!$B$3:$O$102,13,8)="","",INDEX('参加者データ（要入力）'!$B$3:$O$102,13,8))</f>
      </c>
      <c r="N29" s="95">
        <f>IF(INDEX('参加者データ（要入力）'!$B$3:$O$102,13,12)="","",INDEX('参加者データ（要入力）'!$B$3:$O$102,13,12))</f>
      </c>
      <c r="O29" s="283">
        <f>IF(INDEX('参加者データ（要入力）'!$B$3:$P$102,13,14)="","",INDEX('参加者データ（要入力）'!$B$3:$P$102,13,14))</f>
      </c>
      <c r="P29" s="285">
        <f>IF(INDEX('参加者データ（要入力）'!$B$3:$P$102,13,15)="","",INDEX('参加者データ（要入力）'!$B$3:$P$102,13,15))</f>
      </c>
      <c r="Q29" s="286"/>
      <c r="R29" s="287"/>
    </row>
    <row r="30" spans="1:18" ht="31.5" customHeight="1">
      <c r="A30" s="279"/>
      <c r="B30" s="117">
        <f>IF(INDEX('参加者データ（要入力）'!$B$3:$O$102,13,1)="","",INDEX('参加者データ（要入力）'!$B$3:$O$102,13,1))</f>
      </c>
      <c r="C30" s="237"/>
      <c r="D30" s="237"/>
      <c r="E30" s="124">
        <f>IF(INDEX('参加者データ（要入力）'!$B$3:$O$102,13,5)="","",INDEX('参加者データ（要入力）'!$B$3:$O$102,13,5))</f>
      </c>
      <c r="F30" s="275"/>
      <c r="G30" s="127" t="s">
        <v>98</v>
      </c>
      <c r="H30" s="132">
        <f>IF(AND(C29="女",F29="A"),"尼","")</f>
      </c>
      <c r="I30" s="176">
        <f>IF(INDEX('参加者データ（要入力）'!$B$3:$O$102,13,10)="","",INDEX('参加者データ（要入力）'!$B$3:$O$102,13,10))</f>
      </c>
      <c r="J30" s="276">
        <f>IF(INDEX('参加者データ（要入力）'!$B$3:$O$102,13,7)="","",INDEX('参加者データ（要入力）'!$B$3:$O$102,13,7))</f>
      </c>
      <c r="K30" s="277" t="str">
        <f>INDEX('参加者データ（要入力）'!$B$2:$O$102,1,6)</f>
        <v>600-8308</v>
      </c>
      <c r="L30" s="277" t="str">
        <f>INDEX('参加者データ（要入力）'!$B$2:$O$102,1,6)</f>
        <v>600-8308</v>
      </c>
      <c r="M30" s="278" t="str">
        <f>INDEX('参加者データ（要入力）'!$B$2:$O$102,1,6)</f>
        <v>600-8308</v>
      </c>
      <c r="N30" s="99">
        <f>IF(INDEX('参加者データ（要入力）'!$B$3:$O$102,13,13)="","",INDEX('参加者データ（要入力）'!$B$3:$O$102,13,13))</f>
      </c>
      <c r="O30" s="284"/>
      <c r="P30" s="288"/>
      <c r="Q30" s="289"/>
      <c r="R30" s="290"/>
    </row>
    <row r="31" spans="1:18" ht="19.5" customHeight="1">
      <c r="A31" s="279">
        <v>14</v>
      </c>
      <c r="B31" s="118">
        <f>IF(INDEX('参加者データ（要入力）'!$B$3:$O$102,14,2)="","",INDEX('参加者データ（要入力）'!$B$3:$O$102,14,2))</f>
      </c>
      <c r="C31" s="280">
        <f>IF(INDEX('参加者データ（要入力）'!$B$3:$O$102,14,3)="","",INDEX('参加者データ（要入力）'!$B$3:$O$102,14,3))</f>
      </c>
      <c r="D31" s="280">
        <f>IF(INDEX('参加者データ（要入力）'!$B$3:$O$102,14,4)="","",INDEX('参加者データ（要入力）'!$B$3:$O$102,14,4))</f>
      </c>
      <c r="E31" s="121">
        <f>IF(INDEX('参加者データ（要入力）'!$B$3:$O$102,14,5)="","",INDEX('参加者データ（要入力）'!$B$3:$O$102,14,5))</f>
      </c>
      <c r="F31" s="274">
        <f>IF(INDEX('参加者データ（要入力）'!$B$3:$O$102,14,9)="","",INDEX('参加者データ（要入力）'!$B$3:$O$102,14,9))</f>
      </c>
      <c r="G31" s="126"/>
      <c r="H31" s="131"/>
      <c r="I31" s="96">
        <f>IF(INDEX('参加者データ（要入力）'!$B$3:$O$102,14,11)="","",INDEX('参加者データ（要入力）'!$B$3:$O$102,14,11))</f>
      </c>
      <c r="J31" s="86" t="s">
        <v>96</v>
      </c>
      <c r="K31" s="97">
        <f>IF(INDEX('参加者データ（要入力）'!$B$3:$O$102,14,6)="","",INDEX('参加者データ（要入力）'!$B$3:$O$102,14,6))</f>
      </c>
      <c r="L31" s="87" t="s">
        <v>97</v>
      </c>
      <c r="M31" s="98">
        <f>IF(INDEX('参加者データ（要入力）'!$B$3:$O$102,14,8)="","",INDEX('参加者データ（要入力）'!$B$3:$O$102,14,8))</f>
      </c>
      <c r="N31" s="95">
        <f>IF(INDEX('参加者データ（要入力）'!$B$3:$O$102,14,12)="","",INDEX('参加者データ（要入力）'!$B$3:$O$102,14,12))</f>
      </c>
      <c r="O31" s="283">
        <f>IF(INDEX('参加者データ（要入力）'!$B$3:$P$102,14,14)="","",INDEX('参加者データ（要入力）'!$B$3:$P$102,14,14))</f>
      </c>
      <c r="P31" s="285">
        <f>IF(INDEX('参加者データ（要入力）'!$B$3:$P$102,14,15)="","",INDEX('参加者データ（要入力）'!$B$3:$P$102,14,15))</f>
      </c>
      <c r="Q31" s="286"/>
      <c r="R31" s="287"/>
    </row>
    <row r="32" spans="1:18" ht="31.5" customHeight="1">
      <c r="A32" s="279"/>
      <c r="B32" s="117">
        <f>IF(INDEX('参加者データ（要入力）'!$B$3:$O$102,14,1)="","",INDEX('参加者データ（要入力）'!$B$3:$O$102,14,1))</f>
      </c>
      <c r="C32" s="237"/>
      <c r="D32" s="237"/>
      <c r="E32" s="124">
        <f>IF(INDEX('参加者データ（要入力）'!$B$3:$O$102,14,5)="","",INDEX('参加者データ（要入力）'!$B$3:$O$102,14,5))</f>
      </c>
      <c r="F32" s="275"/>
      <c r="G32" s="127" t="s">
        <v>98</v>
      </c>
      <c r="H32" s="132">
        <f>IF(AND(C31="女",F31="A"),"尼","")</f>
      </c>
      <c r="I32" s="176">
        <f>IF(INDEX('参加者データ（要入力）'!$B$3:$O$102,14,10)="","",INDEX('参加者データ（要入力）'!$B$3:$O$102,14,10))</f>
      </c>
      <c r="J32" s="276">
        <f>IF(INDEX('参加者データ（要入力）'!$B$3:$O$102,14,7)="","",INDEX('参加者データ（要入力）'!$B$3:$O$102,14,7))</f>
      </c>
      <c r="K32" s="277" t="str">
        <f>INDEX('参加者データ（要入力）'!$B$2:$O$102,1,6)</f>
        <v>600-8308</v>
      </c>
      <c r="L32" s="277" t="str">
        <f>INDEX('参加者データ（要入力）'!$B$2:$O$102,1,6)</f>
        <v>600-8308</v>
      </c>
      <c r="M32" s="278" t="str">
        <f>INDEX('参加者データ（要入力）'!$B$2:$O$102,1,6)</f>
        <v>600-8308</v>
      </c>
      <c r="N32" s="99">
        <f>IF(INDEX('参加者データ（要入力）'!$B$3:$O$102,14,13)="","",INDEX('参加者データ（要入力）'!$B$3:$O$102,14,13))</f>
      </c>
      <c r="O32" s="284"/>
      <c r="P32" s="288"/>
      <c r="Q32" s="289"/>
      <c r="R32" s="290"/>
    </row>
    <row r="33" spans="1:18" ht="19.5" customHeight="1">
      <c r="A33" s="279">
        <v>15</v>
      </c>
      <c r="B33" s="118">
        <f>IF(INDEX('参加者データ（要入力）'!$B$3:$O$102,15,2)="","",INDEX('参加者データ（要入力）'!$B$3:$O$102,15,2))</f>
      </c>
      <c r="C33" s="280">
        <f>IF(INDEX('参加者データ（要入力）'!$B$3:$O$102,15,3)="","",INDEX('参加者データ（要入力）'!$B$3:$O$102,15,3))</f>
      </c>
      <c r="D33" s="237">
        <f>IF(INDEX('参加者データ（要入力）'!$B$3:$O$102,15,4)="","",INDEX('参加者データ（要入力）'!$B$3:$O$102,15,4))</f>
      </c>
      <c r="E33" s="121">
        <f>IF(INDEX('参加者データ（要入力）'!$B$3:$O$102,15,5)="","",INDEX('参加者データ（要入力）'!$B$3:$O$102,15,5))</f>
      </c>
      <c r="F33" s="274">
        <f>IF(INDEX('参加者データ（要入力）'!$B$3:$O$102,15,9)="","",INDEX('参加者データ（要入力）'!$B$3:$O$102,15,9))</f>
      </c>
      <c r="G33" s="126"/>
      <c r="H33" s="131"/>
      <c r="I33" s="96">
        <f>IF(INDEX('参加者データ（要入力）'!$B$3:$O$102,15,11)="","",INDEX('参加者データ（要入力）'!$B$3:$O$102,15,11))</f>
      </c>
      <c r="J33" s="86" t="s">
        <v>96</v>
      </c>
      <c r="K33" s="97">
        <f>IF(INDEX('参加者データ（要入力）'!$B$3:$O$102,15,6)="","",INDEX('参加者データ（要入力）'!$B$3:$O$102,15,6))</f>
      </c>
      <c r="L33" s="87" t="s">
        <v>97</v>
      </c>
      <c r="M33" s="98">
        <f>IF(INDEX('参加者データ（要入力）'!$B$3:$O$102,15,8)="","",INDEX('参加者データ（要入力）'!$B$3:$O$102,15,8))</f>
      </c>
      <c r="N33" s="95">
        <f>IF(INDEX('参加者データ（要入力）'!$B$3:$O$102,15,12)="","",INDEX('参加者データ（要入力）'!$B$3:$O$102,15,12))</f>
      </c>
      <c r="O33" s="283">
        <f>IF(INDEX('参加者データ（要入力）'!$B$3:$P$102,15,14)="","",INDEX('参加者データ（要入力）'!$B$3:$P$102,15,14))</f>
      </c>
      <c r="P33" s="285">
        <f>IF(INDEX('参加者データ（要入力）'!$B$3:$P$102,15,15)="","",INDEX('参加者データ（要入力）'!$B$3:$P$102,15,15))</f>
      </c>
      <c r="Q33" s="286"/>
      <c r="R33" s="287"/>
    </row>
    <row r="34" spans="1:18" ht="31.5" customHeight="1">
      <c r="A34" s="279"/>
      <c r="B34" s="117">
        <f>IF(INDEX('参加者データ（要入力）'!$B$3:$O$102,15,1)="","",INDEX('参加者データ（要入力）'!$B$3:$O$102,15,1))</f>
      </c>
      <c r="C34" s="237"/>
      <c r="D34" s="237"/>
      <c r="E34" s="122">
        <f>IF(INDEX('参加者データ（要入力）'!$B$3:$O$102,15,5)="","",INDEX('参加者データ（要入力）'!$B$3:$O$102,15,5))</f>
      </c>
      <c r="F34" s="275"/>
      <c r="G34" s="127" t="s">
        <v>98</v>
      </c>
      <c r="H34" s="132">
        <f>IF(AND(C33="女",F33="A"),"尼","")</f>
      </c>
      <c r="I34" s="176">
        <f>IF(INDEX('参加者データ（要入力）'!$B$3:$O$102,15,10)="","",INDEX('参加者データ（要入力）'!$B$3:$O$102,15,10))</f>
      </c>
      <c r="J34" s="276">
        <f>IF(INDEX('参加者データ（要入力）'!$B$3:$O$102,15,7)="","",INDEX('参加者データ（要入力）'!$B$3:$O$102,15,7))</f>
      </c>
      <c r="K34" s="277" t="str">
        <f>INDEX('参加者データ（要入力）'!$B$2:$O$102,1,6)</f>
        <v>600-8308</v>
      </c>
      <c r="L34" s="277" t="str">
        <f>INDEX('参加者データ（要入力）'!$B$2:$O$102,1,6)</f>
        <v>600-8308</v>
      </c>
      <c r="M34" s="278" t="str">
        <f>INDEX('参加者データ（要入力）'!$B$2:$O$102,1,6)</f>
        <v>600-8308</v>
      </c>
      <c r="N34" s="99">
        <f>IF(INDEX('参加者データ（要入力）'!$B$3:$O$102,15,13)="","",INDEX('参加者データ（要入力）'!$B$3:$O$102,15,13))</f>
      </c>
      <c r="O34" s="284"/>
      <c r="P34" s="288"/>
      <c r="Q34" s="289"/>
      <c r="R34" s="290"/>
    </row>
    <row r="35" spans="1:18" ht="19.5" customHeight="1">
      <c r="A35" s="279">
        <v>16</v>
      </c>
      <c r="B35" s="118">
        <f>IF(INDEX('参加者データ（要入力）'!$B$3:$O$102,16,2)="","",INDEX('参加者データ（要入力）'!$B$3:$O$102,16,2))</f>
      </c>
      <c r="C35" s="280">
        <f>IF(INDEX('参加者データ（要入力）'!$B$3:$O$102,16,3)="","",INDEX('参加者データ（要入力）'!$B$3:$O$102,16,3))</f>
      </c>
      <c r="D35" s="280">
        <f>IF(INDEX('参加者データ（要入力）'!$B$3:$O$102,16,4)="","",INDEX('参加者データ（要入力）'!$B$3:$O$102,16,4))</f>
      </c>
      <c r="E35" s="121">
        <f>IF(INDEX('参加者データ（要入力）'!$B$3:$O$102,16,5)="","",INDEX('参加者データ（要入力）'!$B$3:$O$102,16,5))</f>
      </c>
      <c r="F35" s="274">
        <f>IF(INDEX('参加者データ（要入力）'!$B$3:$O$102,16,9)="","",INDEX('参加者データ（要入力）'!$B$3:$O$102,16,9))</f>
      </c>
      <c r="G35" s="126"/>
      <c r="H35" s="131"/>
      <c r="I35" s="96">
        <f>IF(INDEX('参加者データ（要入力）'!$B$3:$O$102,16,11)="","",INDEX('参加者データ（要入力）'!$B$3:$O$102,16,11))</f>
      </c>
      <c r="J35" s="86" t="s">
        <v>96</v>
      </c>
      <c r="K35" s="97">
        <f>IF(INDEX('参加者データ（要入力）'!$B$3:$O$102,16,6)="","",INDEX('参加者データ（要入力）'!$B$3:$O$102,16,6))</f>
      </c>
      <c r="L35" s="87" t="s">
        <v>97</v>
      </c>
      <c r="M35" s="98">
        <f>IF(INDEX('参加者データ（要入力）'!$B$3:$O$102,16,8)="","",INDEX('参加者データ（要入力）'!$B$3:$O$102,16,8))</f>
      </c>
      <c r="N35" s="95">
        <f>IF(INDEX('参加者データ（要入力）'!$B$3:$O$102,16,12)="","",INDEX('参加者データ（要入力）'!$B$3:$O$102,16,12))</f>
      </c>
      <c r="O35" s="283">
        <f>IF(INDEX('参加者データ（要入力）'!$B$3:$P$102,16,14)="","",INDEX('参加者データ（要入力）'!$B$3:$P$102,16,14))</f>
      </c>
      <c r="P35" s="285">
        <f>IF(INDEX('参加者データ（要入力）'!$B$3:$P$102,16,15)="","",INDEX('参加者データ（要入力）'!$B$3:$P$102,16,15))</f>
      </c>
      <c r="Q35" s="286"/>
      <c r="R35" s="287"/>
    </row>
    <row r="36" spans="1:18" ht="31.5" customHeight="1">
      <c r="A36" s="279"/>
      <c r="B36" s="117">
        <f>IF(INDEX('参加者データ（要入力）'!$B$3:$O$102,16,1)="","",INDEX('参加者データ（要入力）'!$B$3:$O$102,16,1))</f>
      </c>
      <c r="C36" s="237"/>
      <c r="D36" s="237"/>
      <c r="E36" s="124">
        <f>IF(INDEX('参加者データ（要入力）'!$B$3:$O$102,16,5)="","",INDEX('参加者データ（要入力）'!$B$3:$O$102,16,5))</f>
      </c>
      <c r="F36" s="275"/>
      <c r="G36" s="127" t="s">
        <v>98</v>
      </c>
      <c r="H36" s="132">
        <f>IF(AND(C35="女",F35="A"),"尼","")</f>
      </c>
      <c r="I36" s="176">
        <f>IF(INDEX('参加者データ（要入力）'!$B$3:$O$102,16,10)="","",INDEX('参加者データ（要入力）'!$B$3:$O$102,16,10))</f>
      </c>
      <c r="J36" s="276">
        <f>IF(INDEX('参加者データ（要入力）'!$B$3:$O$102,16,7)="","",INDEX('参加者データ（要入力）'!$B$3:$O$102,16,7))</f>
      </c>
      <c r="K36" s="277" t="str">
        <f>INDEX('参加者データ（要入力）'!$B$2:$O$102,1,6)</f>
        <v>600-8308</v>
      </c>
      <c r="L36" s="277" t="str">
        <f>INDEX('参加者データ（要入力）'!$B$2:$O$102,1,6)</f>
        <v>600-8308</v>
      </c>
      <c r="M36" s="278" t="str">
        <f>INDEX('参加者データ（要入力）'!$B$2:$O$102,1,6)</f>
        <v>600-8308</v>
      </c>
      <c r="N36" s="99">
        <f>IF(INDEX('参加者データ（要入力）'!$B$3:$O$102,16,13)="","",INDEX('参加者データ（要入力）'!$B$3:$O$102,16,13))</f>
      </c>
      <c r="O36" s="284"/>
      <c r="P36" s="288"/>
      <c r="Q36" s="289"/>
      <c r="R36" s="290"/>
    </row>
    <row r="37" spans="1:18" ht="19.5" customHeight="1">
      <c r="A37" s="279">
        <v>17</v>
      </c>
      <c r="B37" s="118">
        <f>IF(INDEX('参加者データ（要入力）'!$B$3:$O$102,17,2)="","",INDEX('参加者データ（要入力）'!$B$3:$O$102,17,2))</f>
      </c>
      <c r="C37" s="280">
        <f>IF(INDEX('参加者データ（要入力）'!$B$3:$O$102,17,3)="","",INDEX('参加者データ（要入力）'!$B$3:$O$102,17,3))</f>
      </c>
      <c r="D37" s="237">
        <f>IF(INDEX('参加者データ（要入力）'!$B$3:$O$102,17,4)="","",INDEX('参加者データ（要入力）'!$B$3:$O$102,17,4))</f>
      </c>
      <c r="E37" s="121">
        <f>IF(INDEX('参加者データ（要入力）'!$B$3:$O$102,17,5)="","",INDEX('参加者データ（要入力）'!$B$3:$O$102,17,5))</f>
      </c>
      <c r="F37" s="274">
        <f>IF(INDEX('参加者データ（要入力）'!$B$3:$O$102,17,9)="","",INDEX('参加者データ（要入力）'!$B$3:$O$102,17,9))</f>
      </c>
      <c r="G37" s="126"/>
      <c r="H37" s="131"/>
      <c r="I37" s="96">
        <f>IF(INDEX('参加者データ（要入力）'!$B$3:$O$102,17,11)="","",INDEX('参加者データ（要入力）'!$B$3:$O$102,17,11))</f>
      </c>
      <c r="J37" s="86" t="s">
        <v>96</v>
      </c>
      <c r="K37" s="97">
        <f>IF(INDEX('参加者データ（要入力）'!$B$3:$O$102,17,6)="","",INDEX('参加者データ（要入力）'!$B$3:$O$102,17,6))</f>
      </c>
      <c r="L37" s="87" t="s">
        <v>97</v>
      </c>
      <c r="M37" s="98">
        <f>IF(INDEX('参加者データ（要入力）'!$B$3:$O$102,17,8)="","",INDEX('参加者データ（要入力）'!$B$3:$O$102,17,8))</f>
      </c>
      <c r="N37" s="95">
        <f>IF(INDEX('参加者データ（要入力）'!$B$3:$O$102,17,12)="","",INDEX('参加者データ（要入力）'!$B$3:$O$102,17,12))</f>
      </c>
      <c r="O37" s="283">
        <f>IF(INDEX('参加者データ（要入力）'!$B$3:$P$102,17,14)="","",INDEX('参加者データ（要入力）'!$B$3:$P$102,17,14))</f>
      </c>
      <c r="P37" s="285">
        <f>IF(INDEX('参加者データ（要入力）'!$B$3:$P$102,17,15)="","",INDEX('参加者データ（要入力）'!$B$3:$P$102,17,15))</f>
      </c>
      <c r="Q37" s="286"/>
      <c r="R37" s="287"/>
    </row>
    <row r="38" spans="1:18" ht="31.5" customHeight="1">
      <c r="A38" s="279"/>
      <c r="B38" s="117">
        <f>IF(INDEX('参加者データ（要入力）'!$B$3:$O$102,17,1)="","",INDEX('参加者データ（要入力）'!$B$3:$O$102,17,1))</f>
      </c>
      <c r="C38" s="237"/>
      <c r="D38" s="237"/>
      <c r="E38" s="124">
        <f>IF(INDEX('参加者データ（要入力）'!$B$3:$O$102,17,5)="","",INDEX('参加者データ（要入力）'!$B$3:$O$102,17,5))</f>
      </c>
      <c r="F38" s="275"/>
      <c r="G38" s="127" t="s">
        <v>98</v>
      </c>
      <c r="H38" s="132">
        <f>IF(AND(C37="女",F37="A"),"尼","")</f>
      </c>
      <c r="I38" s="176">
        <f>IF(INDEX('参加者データ（要入力）'!$B$3:$O$102,17,10)="","",INDEX('参加者データ（要入力）'!$B$3:$O$102,17,10))</f>
      </c>
      <c r="J38" s="276">
        <f>IF(INDEX('参加者データ（要入力）'!$B$3:$O$102,17,7)="","",INDEX('参加者データ（要入力）'!$B$3:$O$102,17,7))</f>
      </c>
      <c r="K38" s="277" t="str">
        <f>INDEX('参加者データ（要入力）'!$B$2:$O$102,1,6)</f>
        <v>600-8308</v>
      </c>
      <c r="L38" s="277" t="str">
        <f>INDEX('参加者データ（要入力）'!$B$2:$O$102,1,6)</f>
        <v>600-8308</v>
      </c>
      <c r="M38" s="278" t="str">
        <f>INDEX('参加者データ（要入力）'!$B$2:$O$102,1,6)</f>
        <v>600-8308</v>
      </c>
      <c r="N38" s="99">
        <f>IF(INDEX('参加者データ（要入力）'!$B$3:$O$102,17,13)="","",INDEX('参加者データ（要入力）'!$B$3:$O$102,17,13))</f>
      </c>
      <c r="O38" s="284"/>
      <c r="P38" s="288"/>
      <c r="Q38" s="289"/>
      <c r="R38" s="290"/>
    </row>
    <row r="39" spans="1:18" ht="19.5" customHeight="1">
      <c r="A39" s="279">
        <v>18</v>
      </c>
      <c r="B39" s="118">
        <f>IF(INDEX('参加者データ（要入力）'!$B$3:$O$102,18,2)="","",INDEX('参加者データ（要入力）'!$B$3:$O$102,18,2))</f>
      </c>
      <c r="C39" s="280">
        <f>IF(INDEX('参加者データ（要入力）'!$B$3:$O$102,18,3)="","",INDEX('参加者データ（要入力）'!$B$3:$O$102,18,3))</f>
      </c>
      <c r="D39" s="280">
        <f>IF(INDEX('参加者データ（要入力）'!$B$3:$O$102,18,4)="","",INDEX('参加者データ（要入力）'!$B$3:$O$102,18,4))</f>
      </c>
      <c r="E39" s="121">
        <f>IF(INDEX('参加者データ（要入力）'!$B$3:$O$102,18,5)="","",INDEX('参加者データ（要入力）'!$B$3:$O$102,18,5))</f>
      </c>
      <c r="F39" s="274">
        <f>IF(INDEX('参加者データ（要入力）'!$B$3:$O$102,18,9)="","",INDEX('参加者データ（要入力）'!$B$3:$O$102,18,9))</f>
      </c>
      <c r="G39" s="126"/>
      <c r="H39" s="131"/>
      <c r="I39" s="96">
        <f>IF(INDEX('参加者データ（要入力）'!$B$3:$O$102,18,11)="","",INDEX('参加者データ（要入力）'!$B$3:$O$102,18,11))</f>
      </c>
      <c r="J39" s="86" t="s">
        <v>96</v>
      </c>
      <c r="K39" s="97">
        <f>IF(INDEX('参加者データ（要入力）'!$B$3:$O$102,18,6)="","",INDEX('参加者データ（要入力）'!$B$3:$O$102,18,6))</f>
      </c>
      <c r="L39" s="87" t="s">
        <v>97</v>
      </c>
      <c r="M39" s="98">
        <f>IF(INDEX('参加者データ（要入力）'!$B$3:$O$102,18,8)="","",INDEX('参加者データ（要入力）'!$B$3:$O$102,18,8))</f>
      </c>
      <c r="N39" s="95">
        <f>IF(INDEX('参加者データ（要入力）'!$B$3:$O$102,18,12)="","",INDEX('参加者データ（要入力）'!$B$3:$O$102,18,12))</f>
      </c>
      <c r="O39" s="283">
        <f>IF(INDEX('参加者データ（要入力）'!$B$3:$P$102,18,14)="","",INDEX('参加者データ（要入力）'!$B$3:$P$102,18,14))</f>
      </c>
      <c r="P39" s="285">
        <f>IF(INDEX('参加者データ（要入力）'!$B$3:$P$102,18,15)="","",INDEX('参加者データ（要入力）'!$B$3:$P$102,18,15))</f>
      </c>
      <c r="Q39" s="286"/>
      <c r="R39" s="287"/>
    </row>
    <row r="40" spans="1:18" ht="31.5" customHeight="1">
      <c r="A40" s="279"/>
      <c r="B40" s="117">
        <f>IF(INDEX('参加者データ（要入力）'!$B$3:$O$102,18,1)="","",INDEX('参加者データ（要入力）'!$B$3:$O$102,18,1))</f>
      </c>
      <c r="C40" s="237"/>
      <c r="D40" s="237"/>
      <c r="E40" s="124">
        <f>IF(INDEX('参加者データ（要入力）'!$B$3:$O$102,18,5)="","",INDEX('参加者データ（要入力）'!$B$3:$O$102,18,5))</f>
      </c>
      <c r="F40" s="275"/>
      <c r="G40" s="127" t="s">
        <v>98</v>
      </c>
      <c r="H40" s="132">
        <f>IF(AND(C39="女",F39="A"),"尼","")</f>
      </c>
      <c r="I40" s="176">
        <f>IF(INDEX('参加者データ（要入力）'!$B$3:$O$102,18,10)="","",INDEX('参加者データ（要入力）'!$B$3:$O$102,18,10))</f>
      </c>
      <c r="J40" s="276">
        <f>IF(INDEX('参加者データ（要入力）'!$B$3:$O$102,18,7)="","",INDEX('参加者データ（要入力）'!$B$3:$O$102,18,7))</f>
      </c>
      <c r="K40" s="277" t="str">
        <f>INDEX('参加者データ（要入力）'!$B$2:$O$102,1,6)</f>
        <v>600-8308</v>
      </c>
      <c r="L40" s="277" t="str">
        <f>INDEX('参加者データ（要入力）'!$B$2:$O$102,1,6)</f>
        <v>600-8308</v>
      </c>
      <c r="M40" s="278" t="str">
        <f>INDEX('参加者データ（要入力）'!$B$2:$O$102,1,6)</f>
        <v>600-8308</v>
      </c>
      <c r="N40" s="99">
        <f>IF(INDEX('参加者データ（要入力）'!$B$3:$O$102,18,13)="","",INDEX('参加者データ（要入力）'!$B$3:$O$102,18,13))</f>
      </c>
      <c r="O40" s="284"/>
      <c r="P40" s="288"/>
      <c r="Q40" s="289"/>
      <c r="R40" s="290"/>
    </row>
    <row r="41" spans="1:18" ht="19.5" customHeight="1">
      <c r="A41" s="279">
        <v>19</v>
      </c>
      <c r="B41" s="118">
        <f>IF(INDEX('参加者データ（要入力）'!$B$3:$O$102,19,2)="","",INDEX('参加者データ（要入力）'!$B$3:$O$102,19,2))</f>
      </c>
      <c r="C41" s="280">
        <f>IF(INDEX('参加者データ（要入力）'!$B$3:$O$102,19,3)="","",INDEX('参加者データ（要入力）'!$B$3:$O$102,19,3))</f>
      </c>
      <c r="D41" s="237">
        <f>IF(INDEX('参加者データ（要入力）'!$B$3:$O$102,19,4)="","",INDEX('参加者データ（要入力）'!$B$3:$O$102,19,4))</f>
      </c>
      <c r="E41" s="121">
        <f>IF(INDEX('参加者データ（要入力）'!$B$3:$O$102,19,5)="","",INDEX('参加者データ（要入力）'!$B$3:$O$102,19,5))</f>
      </c>
      <c r="F41" s="274">
        <f>IF(INDEX('参加者データ（要入力）'!$B$3:$O$102,19,9)="","",INDEX('参加者データ（要入力）'!$B$3:$O$102,19,9))</f>
      </c>
      <c r="G41" s="126"/>
      <c r="H41" s="131"/>
      <c r="I41" s="96">
        <f>IF(INDEX('参加者データ（要入力）'!$B$3:$O$102,19,11)="","",INDEX('参加者データ（要入力）'!$B$3:$O$102,19,11))</f>
      </c>
      <c r="J41" s="86" t="s">
        <v>96</v>
      </c>
      <c r="K41" s="97">
        <f>IF(INDEX('参加者データ（要入力）'!$B$3:$O$102,19,6)="","",INDEX('参加者データ（要入力）'!$B$3:$O$102,19,6))</f>
      </c>
      <c r="L41" s="87" t="s">
        <v>97</v>
      </c>
      <c r="M41" s="98">
        <f>IF(INDEX('参加者データ（要入力）'!$B$3:$O$102,19,8)="","",INDEX('参加者データ（要入力）'!$B$3:$O$102,19,8))</f>
      </c>
      <c r="N41" s="95">
        <f>IF(INDEX('参加者データ（要入力）'!$B$3:$O$102,19,12)="","",INDEX('参加者データ（要入力）'!$B$3:$O$102,19,12))</f>
      </c>
      <c r="O41" s="283">
        <f>IF(INDEX('参加者データ（要入力）'!$B$3:$P$102,19,14)="","",INDEX('参加者データ（要入力）'!$B$3:$P$102,19,14))</f>
      </c>
      <c r="P41" s="285">
        <f>IF(INDEX('参加者データ（要入力）'!$B$3:$P$102,19,15)="","",INDEX('参加者データ（要入力）'!$B$3:$P$102,19,15))</f>
      </c>
      <c r="Q41" s="286"/>
      <c r="R41" s="287"/>
    </row>
    <row r="42" spans="1:18" ht="31.5" customHeight="1">
      <c r="A42" s="279"/>
      <c r="B42" s="117">
        <f>IF(INDEX('参加者データ（要入力）'!$B$3:$O$102,19,1)="","",INDEX('参加者データ（要入力）'!$B$3:$O$102,19,1))</f>
      </c>
      <c r="C42" s="237"/>
      <c r="D42" s="237"/>
      <c r="E42" s="124">
        <f>IF(INDEX('参加者データ（要入力）'!$B$3:$O$102,19,5)="","",INDEX('参加者データ（要入力）'!$B$3:$O$102,19,5))</f>
      </c>
      <c r="F42" s="275"/>
      <c r="G42" s="127" t="s">
        <v>98</v>
      </c>
      <c r="H42" s="132">
        <f>IF(AND(C41="女",F41="A"),"尼","")</f>
      </c>
      <c r="I42" s="176">
        <f>IF(INDEX('参加者データ（要入力）'!$B$3:$O$102,19,10)="","",INDEX('参加者データ（要入力）'!$B$3:$O$102,19,10))</f>
      </c>
      <c r="J42" s="276">
        <f>IF(INDEX('参加者データ（要入力）'!$B$3:$O$102,19,7)="","",INDEX('参加者データ（要入力）'!$B$3:$O$102,19,7))</f>
      </c>
      <c r="K42" s="277" t="str">
        <f>INDEX('参加者データ（要入力）'!$B$2:$O$102,1,6)</f>
        <v>600-8308</v>
      </c>
      <c r="L42" s="277" t="str">
        <f>INDEX('参加者データ（要入力）'!$B$2:$O$102,1,6)</f>
        <v>600-8308</v>
      </c>
      <c r="M42" s="278" t="str">
        <f>INDEX('参加者データ（要入力）'!$B$2:$O$102,1,6)</f>
        <v>600-8308</v>
      </c>
      <c r="N42" s="99">
        <f>IF(INDEX('参加者データ（要入力）'!$B$3:$O$102,19,13)="","",INDEX('参加者データ（要入力）'!$B$3:$O$102,19,13))</f>
      </c>
      <c r="O42" s="284"/>
      <c r="P42" s="288"/>
      <c r="Q42" s="289"/>
      <c r="R42" s="290"/>
    </row>
    <row r="43" spans="1:18" ht="19.5" customHeight="1">
      <c r="A43" s="279">
        <v>20</v>
      </c>
      <c r="B43" s="118">
        <f>IF(INDEX('参加者データ（要入力）'!$B$3:$O$102,20,2)="","",INDEX('参加者データ（要入力）'!$B$3:$O$102,20,2))</f>
      </c>
      <c r="C43" s="280">
        <f>IF(INDEX('参加者データ（要入力）'!$B$3:$O$102,20,3)="","",INDEX('参加者データ（要入力）'!$B$3:$O$102,20,3))</f>
      </c>
      <c r="D43" s="280">
        <f>IF(INDEX('参加者データ（要入力）'!$B$3:$O$102,20,4)="","",INDEX('参加者データ（要入力）'!$B$3:$O$102,20,4))</f>
      </c>
      <c r="E43" s="121">
        <f>IF(INDEX('参加者データ（要入力）'!$B$3:$O$102,20,5)="","",INDEX('参加者データ（要入力）'!$B$3:$O$102,20,5))</f>
      </c>
      <c r="F43" s="274">
        <f>IF(INDEX('参加者データ（要入力）'!$B$3:$O$102,20,9)="","",INDEX('参加者データ（要入力）'!$B$3:$O$102,20,9))</f>
      </c>
      <c r="G43" s="126"/>
      <c r="H43" s="131"/>
      <c r="I43" s="96">
        <f>IF(INDEX('参加者データ（要入力）'!$B$3:$O$102,20,11)="","",INDEX('参加者データ（要入力）'!$B$3:$O$102,20,11))</f>
      </c>
      <c r="J43" s="86" t="s">
        <v>96</v>
      </c>
      <c r="K43" s="97">
        <f>IF(INDEX('参加者データ（要入力）'!$B$3:$O$102,20,6)="","",INDEX('参加者データ（要入力）'!$B$3:$O$102,20,6))</f>
      </c>
      <c r="L43" s="87" t="s">
        <v>97</v>
      </c>
      <c r="M43" s="98">
        <f>IF(INDEX('参加者データ（要入力）'!$B$3:$O$102,20,8)="","",INDEX('参加者データ（要入力）'!$B$3:$O$102,20,8))</f>
      </c>
      <c r="N43" s="95">
        <f>IF(INDEX('参加者データ（要入力）'!$B$3:$O$102,20,12)="","",INDEX('参加者データ（要入力）'!$B$3:$O$102,20,12))</f>
      </c>
      <c r="O43" s="283">
        <f>IF(INDEX('参加者データ（要入力）'!$B$3:$P$102,20,14)="","",INDEX('参加者データ（要入力）'!$B$3:$P$102,20,14))</f>
      </c>
      <c r="P43" s="285">
        <f>IF(INDEX('参加者データ（要入力）'!$B$3:$P$102,20,15)="","",INDEX('参加者データ（要入力）'!$B$3:$P$102,20,15))</f>
      </c>
      <c r="Q43" s="286"/>
      <c r="R43" s="287"/>
    </row>
    <row r="44" spans="1:18" ht="31.5" customHeight="1">
      <c r="A44" s="279"/>
      <c r="B44" s="117">
        <f>IF(INDEX('参加者データ（要入力）'!$B$3:$O$102,20,1)="","",INDEX('参加者データ（要入力）'!$B$3:$O$102,20,1))</f>
      </c>
      <c r="C44" s="237"/>
      <c r="D44" s="237"/>
      <c r="E44" s="124">
        <f>IF(INDEX('参加者データ（要入力）'!$B$3:$O$102,20,5)="","",INDEX('参加者データ（要入力）'!$B$3:$O$102,20,5))</f>
      </c>
      <c r="F44" s="275"/>
      <c r="G44" s="127" t="s">
        <v>98</v>
      </c>
      <c r="H44" s="132">
        <f>IF(AND(C43="女",F43="A"),"尼","")</f>
      </c>
      <c r="I44" s="176">
        <f>IF(INDEX('参加者データ（要入力）'!$B$3:$O$102,20,10)="","",INDEX('参加者データ（要入力）'!$B$3:$O$102,20,10))</f>
      </c>
      <c r="J44" s="276">
        <f>IF(INDEX('参加者データ（要入力）'!$B$3:$O$102,20,7)="","",INDEX('参加者データ（要入力）'!$B$3:$O$102,20,7))</f>
      </c>
      <c r="K44" s="277" t="str">
        <f>INDEX('参加者データ（要入力）'!$B$2:$O$102,1,6)</f>
        <v>600-8308</v>
      </c>
      <c r="L44" s="277" t="str">
        <f>INDEX('参加者データ（要入力）'!$B$2:$O$102,1,6)</f>
        <v>600-8308</v>
      </c>
      <c r="M44" s="278" t="str">
        <f>INDEX('参加者データ（要入力）'!$B$2:$O$102,1,6)</f>
        <v>600-8308</v>
      </c>
      <c r="N44" s="99">
        <f>IF(INDEX('参加者データ（要入力）'!$B$3:$O$102,20,13)="","",INDEX('参加者データ（要入力）'!$B$3:$O$102,20,13))</f>
      </c>
      <c r="O44" s="284"/>
      <c r="P44" s="288"/>
      <c r="Q44" s="289"/>
      <c r="R44" s="290"/>
    </row>
    <row r="45" spans="1:18" ht="19.5" customHeight="1">
      <c r="A45" s="279">
        <v>21</v>
      </c>
      <c r="B45" s="118">
        <f>IF(INDEX('参加者データ（要入力）'!$B$3:$O$102,21,2)="","",INDEX('参加者データ（要入力）'!$B$3:$O$102,21,2))</f>
      </c>
      <c r="C45" s="280">
        <f>IF(INDEX('参加者データ（要入力）'!$B$3:$O$102,21,3)="","",INDEX('参加者データ（要入力）'!$B$3:$O$102,21,3))</f>
      </c>
      <c r="D45" s="237">
        <f>IF(INDEX('参加者データ（要入力）'!$B$3:$O$102,21,4)="","",INDEX('参加者データ（要入力）'!$B$3:$O$102,21,4))</f>
      </c>
      <c r="E45" s="121">
        <f>IF(INDEX('参加者データ（要入力）'!$B$3:$O$102,21,5)="","",INDEX('参加者データ（要入力）'!$B$3:$O$102,21,5))</f>
      </c>
      <c r="F45" s="274">
        <f>IF(INDEX('参加者データ（要入力）'!$B$3:$O$102,21,9)="","",INDEX('参加者データ（要入力）'!$B$3:$O$102,21,9))</f>
      </c>
      <c r="G45" s="126"/>
      <c r="H45" s="131"/>
      <c r="I45" s="96">
        <f>IF(INDEX('参加者データ（要入力）'!$B$3:$O$102,21,11)="","",INDEX('参加者データ（要入力）'!$B$3:$O$102,21,11))</f>
      </c>
      <c r="J45" s="86" t="s">
        <v>96</v>
      </c>
      <c r="K45" s="97">
        <f>IF(INDEX('参加者データ（要入力）'!$B$3:$O$102,21,6)="","",INDEX('参加者データ（要入力）'!$B$3:$O$102,21,6))</f>
      </c>
      <c r="L45" s="87" t="s">
        <v>97</v>
      </c>
      <c r="M45" s="98">
        <f>IF(INDEX('参加者データ（要入力）'!$B$3:$O$102,21,8)="","",INDEX('参加者データ（要入力）'!$B$3:$O$102,21,8))</f>
      </c>
      <c r="N45" s="95">
        <f>IF(INDEX('参加者データ（要入力）'!$B$3:$O$102,21,12)="","",INDEX('参加者データ（要入力）'!$B$3:$O$102,21,12))</f>
      </c>
      <c r="O45" s="283">
        <f>IF(INDEX('参加者データ（要入力）'!$B$3:$P$102,21,14)="","",INDEX('参加者データ（要入力）'!$B$3:$P$102,21,14))</f>
      </c>
      <c r="P45" s="285">
        <f>IF(INDEX('参加者データ（要入力）'!$B$3:$P$102,21,15)="","",INDEX('参加者データ（要入力）'!$B$3:$P$102,21,15))</f>
      </c>
      <c r="Q45" s="286"/>
      <c r="R45" s="287"/>
    </row>
    <row r="46" spans="1:18" ht="31.5" customHeight="1">
      <c r="A46" s="279"/>
      <c r="B46" s="117">
        <f>IF(INDEX('参加者データ（要入力）'!$B$3:$O$102,21,1)="","",INDEX('参加者データ（要入力）'!$B$3:$O$102,21,1))</f>
      </c>
      <c r="C46" s="237"/>
      <c r="D46" s="237"/>
      <c r="E46" s="124">
        <f>IF(INDEX('参加者データ（要入力）'!$B$3:$O$102,21,5)="","",INDEX('参加者データ（要入力）'!$B$3:$O$102,21,5))</f>
      </c>
      <c r="F46" s="275"/>
      <c r="G46" s="127" t="s">
        <v>98</v>
      </c>
      <c r="H46" s="132">
        <f>IF(AND(C45="女",F45="A"),"尼","")</f>
      </c>
      <c r="I46" s="176">
        <f>IF(INDEX('参加者データ（要入力）'!$B$3:$O$102,21,10)="","",INDEX('参加者データ（要入力）'!$B$3:$O$102,21,10))</f>
      </c>
      <c r="J46" s="276">
        <f>IF(INDEX('参加者データ（要入力）'!$B$3:$O$102,21,7)="","",INDEX('参加者データ（要入力）'!$B$3:$O$102,21,7))</f>
      </c>
      <c r="K46" s="277" t="str">
        <f>INDEX('参加者データ（要入力）'!$B$2:$O$102,1,6)</f>
        <v>600-8308</v>
      </c>
      <c r="L46" s="277" t="str">
        <f>INDEX('参加者データ（要入力）'!$B$2:$O$102,1,6)</f>
        <v>600-8308</v>
      </c>
      <c r="M46" s="278" t="str">
        <f>INDEX('参加者データ（要入力）'!$B$2:$O$102,1,6)</f>
        <v>600-8308</v>
      </c>
      <c r="N46" s="99">
        <f>IF(INDEX('参加者データ（要入力）'!$B$3:$O$102,21,13)="","",INDEX('参加者データ（要入力）'!$B$3:$O$102,21,13))</f>
      </c>
      <c r="O46" s="284"/>
      <c r="P46" s="288"/>
      <c r="Q46" s="289"/>
      <c r="R46" s="290"/>
    </row>
    <row r="47" spans="1:18" ht="19.5" customHeight="1">
      <c r="A47" s="279">
        <v>22</v>
      </c>
      <c r="B47" s="118">
        <f>IF(INDEX('参加者データ（要入力）'!$B$3:$O$102,22,2)="","",INDEX('参加者データ（要入力）'!$B$3:$O$102,22,2))</f>
      </c>
      <c r="C47" s="280">
        <f>IF(INDEX('参加者データ（要入力）'!$B$3:$O$102,22,3)="","",INDEX('参加者データ（要入力）'!$B$3:$O$102,22,3))</f>
      </c>
      <c r="D47" s="280">
        <f>IF(INDEX('参加者データ（要入力）'!$B$3:$O$102,22,4)="","",INDEX('参加者データ（要入力）'!$B$3:$O$102,22,4))</f>
      </c>
      <c r="E47" s="121">
        <f>IF(INDEX('参加者データ（要入力）'!$B$3:$O$102,22,5)="","",INDEX('参加者データ（要入力）'!$B$3:$O$102,22,5))</f>
      </c>
      <c r="F47" s="274">
        <f>IF(INDEX('参加者データ（要入力）'!$B$3:$O$102,22,9)="","",INDEX('参加者データ（要入力）'!$B$3:$O$102,22,9))</f>
      </c>
      <c r="G47" s="126"/>
      <c r="H47" s="131"/>
      <c r="I47" s="96">
        <f>IF(INDEX('参加者データ（要入力）'!$B$3:$O$102,22,11)="","",INDEX('参加者データ（要入力）'!$B$3:$O$102,22,11))</f>
      </c>
      <c r="J47" s="86" t="s">
        <v>96</v>
      </c>
      <c r="K47" s="97">
        <f>IF(INDEX('参加者データ（要入力）'!$B$3:$O$102,22,6)="","",INDEX('参加者データ（要入力）'!$B$3:$O$102,22,6))</f>
      </c>
      <c r="L47" s="87" t="s">
        <v>97</v>
      </c>
      <c r="M47" s="98">
        <f>IF(INDEX('参加者データ（要入力）'!$B$3:$O$102,22,8)="","",INDEX('参加者データ（要入力）'!$B$3:$O$102,22,8))</f>
      </c>
      <c r="N47" s="95">
        <f>IF(INDEX('参加者データ（要入力）'!$B$3:$O$102,22,12)="","",INDEX('参加者データ（要入力）'!$B$3:$O$102,22,12))</f>
      </c>
      <c r="O47" s="283">
        <f>IF(INDEX('参加者データ（要入力）'!$B$3:$P$102,22,14)="","",INDEX('参加者データ（要入力）'!$B$3:$P$102,22,14))</f>
      </c>
      <c r="P47" s="285">
        <f>IF(INDEX('参加者データ（要入力）'!$B$3:$P$102,22,15)="","",INDEX('参加者データ（要入力）'!$B$3:$P$102,22,15))</f>
      </c>
      <c r="Q47" s="286"/>
      <c r="R47" s="287"/>
    </row>
    <row r="48" spans="1:18" ht="31.5" customHeight="1">
      <c r="A48" s="279"/>
      <c r="B48" s="117">
        <f>IF(INDEX('参加者データ（要入力）'!$B$3:$O$102,22,1)="","",INDEX('参加者データ（要入力）'!$B$3:$O$102,22,1))</f>
      </c>
      <c r="C48" s="237"/>
      <c r="D48" s="237"/>
      <c r="E48" s="124">
        <f>IF(INDEX('参加者データ（要入力）'!$B$3:$O$102,22,5)="","",INDEX('参加者データ（要入力）'!$B$3:$O$102,22,5))</f>
      </c>
      <c r="F48" s="275"/>
      <c r="G48" s="127" t="s">
        <v>98</v>
      </c>
      <c r="H48" s="132">
        <f>IF(AND(C47="女",F47="A"),"尼","")</f>
      </c>
      <c r="I48" s="176">
        <f>IF(INDEX('参加者データ（要入力）'!$B$3:$O$102,22,10)="","",INDEX('参加者データ（要入力）'!$B$3:$O$102,22,10))</f>
      </c>
      <c r="J48" s="276">
        <f>IF(INDEX('参加者データ（要入力）'!$B$3:$O$102,22,7)="","",INDEX('参加者データ（要入力）'!$B$3:$O$102,22,7))</f>
      </c>
      <c r="K48" s="277" t="str">
        <f>INDEX('参加者データ（要入力）'!$B$2:$O$102,1,6)</f>
        <v>600-8308</v>
      </c>
      <c r="L48" s="277" t="str">
        <f>INDEX('参加者データ（要入力）'!$B$2:$O$102,1,6)</f>
        <v>600-8308</v>
      </c>
      <c r="M48" s="278" t="str">
        <f>INDEX('参加者データ（要入力）'!$B$2:$O$102,1,6)</f>
        <v>600-8308</v>
      </c>
      <c r="N48" s="99">
        <f>IF(INDEX('参加者データ（要入力）'!$B$3:$O$102,22,13)="","",INDEX('参加者データ（要入力）'!$B$3:$O$102,22,13))</f>
      </c>
      <c r="O48" s="284"/>
      <c r="P48" s="288"/>
      <c r="Q48" s="289"/>
      <c r="R48" s="290"/>
    </row>
    <row r="49" spans="1:18" ht="19.5" customHeight="1">
      <c r="A49" s="279">
        <v>23</v>
      </c>
      <c r="B49" s="118">
        <f>IF(INDEX('参加者データ（要入力）'!$B$3:$O$102,23,2)="","",INDEX('参加者データ（要入力）'!$B$3:$O$102,23,2))</f>
      </c>
      <c r="C49" s="280">
        <f>IF(INDEX('参加者データ（要入力）'!$B$3:$O$102,23,3)="","",INDEX('参加者データ（要入力）'!$B$3:$O$102,23,3))</f>
      </c>
      <c r="D49" s="237">
        <f>IF(INDEX('参加者データ（要入力）'!$B$3:$O$102,23,4)="","",INDEX('参加者データ（要入力）'!$B$3:$O$102,23,4))</f>
      </c>
      <c r="E49" s="121">
        <f>IF(INDEX('参加者データ（要入力）'!$B$3:$O$102,23,5)="","",INDEX('参加者データ（要入力）'!$B$3:$O$102,23,5))</f>
      </c>
      <c r="F49" s="274">
        <f>IF(INDEX('参加者データ（要入力）'!$B$3:$O$102,23,9)="","",INDEX('参加者データ（要入力）'!$B$3:$O$102,23,9))</f>
      </c>
      <c r="G49" s="126"/>
      <c r="H49" s="131"/>
      <c r="I49" s="96">
        <f>IF(INDEX('参加者データ（要入力）'!$B$3:$O$102,23,11)="","",INDEX('参加者データ（要入力）'!$B$3:$O$102,23,11))</f>
      </c>
      <c r="J49" s="86" t="s">
        <v>96</v>
      </c>
      <c r="K49" s="97">
        <f>IF(INDEX('参加者データ（要入力）'!$B$3:$O$102,23,6)="","",INDEX('参加者データ（要入力）'!$B$3:$O$102,23,6))</f>
      </c>
      <c r="L49" s="87" t="s">
        <v>97</v>
      </c>
      <c r="M49" s="98">
        <f>IF(INDEX('参加者データ（要入力）'!$B$3:$O$102,23,8)="","",INDEX('参加者データ（要入力）'!$B$3:$O$102,23,8))</f>
      </c>
      <c r="N49" s="95">
        <f>IF(INDEX('参加者データ（要入力）'!$B$3:$O$102,23,12)="","",INDEX('参加者データ（要入力）'!$B$3:$O$102,23,12))</f>
      </c>
      <c r="O49" s="283">
        <f>IF(INDEX('参加者データ（要入力）'!$B$3:$P$102,23,14)="","",INDEX('参加者データ（要入力）'!$B$3:$P$102,23,14))</f>
      </c>
      <c r="P49" s="285">
        <f>IF(INDEX('参加者データ（要入力）'!$B$3:$P$102,23,15)="","",INDEX('参加者データ（要入力）'!$B$3:$P$102,23,15))</f>
      </c>
      <c r="Q49" s="286"/>
      <c r="R49" s="287"/>
    </row>
    <row r="50" spans="1:18" ht="31.5" customHeight="1">
      <c r="A50" s="279"/>
      <c r="B50" s="117">
        <f>IF(INDEX('参加者データ（要入力）'!$B$3:$O$102,23,1)="","",INDEX('参加者データ（要入力）'!$B$3:$O$102,23,1))</f>
      </c>
      <c r="C50" s="237"/>
      <c r="D50" s="237"/>
      <c r="E50" s="124">
        <f>IF(INDEX('参加者データ（要入力）'!$B$3:$O$102,23,5)="","",INDEX('参加者データ（要入力）'!$B$3:$O$102,23,5))</f>
      </c>
      <c r="F50" s="275"/>
      <c r="G50" s="127" t="s">
        <v>98</v>
      </c>
      <c r="H50" s="132">
        <f>IF(AND(C49="女",F49="A"),"尼","")</f>
      </c>
      <c r="I50" s="176">
        <f>IF(INDEX('参加者データ（要入力）'!$B$3:$O$102,23,10)="","",INDEX('参加者データ（要入力）'!$B$3:$O$102,23,10))</f>
      </c>
      <c r="J50" s="276">
        <f>IF(INDEX('参加者データ（要入力）'!$B$3:$O$102,23,7)="","",INDEX('参加者データ（要入力）'!$B$3:$O$102,23,7))</f>
      </c>
      <c r="K50" s="277" t="str">
        <f>INDEX('参加者データ（要入力）'!$B$2:$O$102,1,6)</f>
        <v>600-8308</v>
      </c>
      <c r="L50" s="277" t="str">
        <f>INDEX('参加者データ（要入力）'!$B$2:$O$102,1,6)</f>
        <v>600-8308</v>
      </c>
      <c r="M50" s="278" t="str">
        <f>INDEX('参加者データ（要入力）'!$B$2:$O$102,1,6)</f>
        <v>600-8308</v>
      </c>
      <c r="N50" s="99">
        <f>IF(INDEX('参加者データ（要入力）'!$B$3:$O$102,23,13)="","",INDEX('参加者データ（要入力）'!$B$3:$O$102,23,13))</f>
      </c>
      <c r="O50" s="284"/>
      <c r="P50" s="288"/>
      <c r="Q50" s="289"/>
      <c r="R50" s="290"/>
    </row>
    <row r="51" spans="1:18" ht="19.5" customHeight="1">
      <c r="A51" s="279">
        <v>24</v>
      </c>
      <c r="B51" s="118">
        <f>IF(INDEX('参加者データ（要入力）'!$B$3:$O$102,24,2)="","",INDEX('参加者データ（要入力）'!$B$3:$O$102,24,2))</f>
      </c>
      <c r="C51" s="280">
        <f>IF(INDEX('参加者データ（要入力）'!$B$3:$O$102,24,3)="","",INDEX('参加者データ（要入力）'!$B$3:$O$102,24,3))</f>
      </c>
      <c r="D51" s="280">
        <f>IF(INDEX('参加者データ（要入力）'!$B$3:$O$102,24,4)="","",INDEX('参加者データ（要入力）'!$B$3:$O$102,24,4))</f>
      </c>
      <c r="E51" s="121">
        <f>IF(INDEX('参加者データ（要入力）'!$B$3:$O$102,24,5)="","",INDEX('参加者データ（要入力）'!$B$3:$O$102,24,5))</f>
      </c>
      <c r="F51" s="274">
        <f>IF(INDEX('参加者データ（要入力）'!$B$3:$O$102,24,9)="","",INDEX('参加者データ（要入力）'!$B$3:$O$102,24,9))</f>
      </c>
      <c r="G51" s="126"/>
      <c r="H51" s="131"/>
      <c r="I51" s="96">
        <f>IF(INDEX('参加者データ（要入力）'!$B$3:$O$102,24,11)="","",INDEX('参加者データ（要入力）'!$B$3:$O$102,24,11))</f>
      </c>
      <c r="J51" s="86" t="s">
        <v>96</v>
      </c>
      <c r="K51" s="97">
        <f>IF(INDEX('参加者データ（要入力）'!$B$3:$O$102,24,6)="","",INDEX('参加者データ（要入力）'!$B$3:$O$102,24,6))</f>
      </c>
      <c r="L51" s="87" t="s">
        <v>97</v>
      </c>
      <c r="M51" s="98">
        <f>IF(INDEX('参加者データ（要入力）'!$B$3:$O$102,24,8)="","",INDEX('参加者データ（要入力）'!$B$3:$O$102,24,8))</f>
      </c>
      <c r="N51" s="95">
        <f>IF(INDEX('参加者データ（要入力）'!$B$3:$O$102,24,12)="","",INDEX('参加者データ（要入力）'!$B$3:$O$102,24,12))</f>
      </c>
      <c r="O51" s="283">
        <f>IF(INDEX('参加者データ（要入力）'!$B$3:$P$102,24,14)="","",INDEX('参加者データ（要入力）'!$B$3:$P$102,24,14))</f>
      </c>
      <c r="P51" s="285">
        <f>IF(INDEX('参加者データ（要入力）'!$B$3:$P$102,24,15)="","",INDEX('参加者データ（要入力）'!$B$3:$P$102,24,15))</f>
      </c>
      <c r="Q51" s="286"/>
      <c r="R51" s="287"/>
    </row>
    <row r="52" spans="1:18" ht="31.5" customHeight="1">
      <c r="A52" s="279"/>
      <c r="B52" s="117">
        <f>IF(INDEX('参加者データ（要入力）'!$B$3:$O$102,24,1)="","",INDEX('参加者データ（要入力）'!$B$3:$O$102,24,1))</f>
      </c>
      <c r="C52" s="237"/>
      <c r="D52" s="237"/>
      <c r="E52" s="124">
        <f>IF(INDEX('参加者データ（要入力）'!$B$3:$O$102,24,5)="","",INDEX('参加者データ（要入力）'!$B$3:$O$102,24,5))</f>
      </c>
      <c r="F52" s="275"/>
      <c r="G52" s="127" t="s">
        <v>98</v>
      </c>
      <c r="H52" s="132">
        <f>IF(AND(C51="女",F51="A"),"尼","")</f>
      </c>
      <c r="I52" s="176">
        <f>IF(INDEX('参加者データ（要入力）'!$B$3:$O$102,24,10)="","",INDEX('参加者データ（要入力）'!$B$3:$O$102,24,10))</f>
      </c>
      <c r="J52" s="276">
        <f>IF(INDEX('参加者データ（要入力）'!$B$3:$O$102,24,7)="","",INDEX('参加者データ（要入力）'!$B$3:$O$102,24,7))</f>
      </c>
      <c r="K52" s="277" t="str">
        <f>INDEX('参加者データ（要入力）'!$B$2:$O$102,1,6)</f>
        <v>600-8308</v>
      </c>
      <c r="L52" s="277" t="str">
        <f>INDEX('参加者データ（要入力）'!$B$2:$O$102,1,6)</f>
        <v>600-8308</v>
      </c>
      <c r="M52" s="278" t="str">
        <f>INDEX('参加者データ（要入力）'!$B$2:$O$102,1,6)</f>
        <v>600-8308</v>
      </c>
      <c r="N52" s="99">
        <f>IF(INDEX('参加者データ（要入力）'!$B$3:$O$102,24,13)="","",INDEX('参加者データ（要入力）'!$B$3:$O$102,24,13))</f>
      </c>
      <c r="O52" s="284"/>
      <c r="P52" s="288"/>
      <c r="Q52" s="289"/>
      <c r="R52" s="290"/>
    </row>
    <row r="53" spans="1:18" ht="19.5" customHeight="1">
      <c r="A53" s="279">
        <v>25</v>
      </c>
      <c r="B53" s="118">
        <f>IF(INDEX('参加者データ（要入力）'!$B$3:$O$102,25,2)="","",INDEX('参加者データ（要入力）'!$B$3:$O$102,25,2))</f>
      </c>
      <c r="C53" s="280">
        <f>IF(INDEX('参加者データ（要入力）'!$B$3:$O$102,25,3)="","",INDEX('参加者データ（要入力）'!$B$3:$O$102,25,3))</f>
      </c>
      <c r="D53" s="237">
        <f>IF(INDEX('参加者データ（要入力）'!$B$3:$O$102,25,4)="","",INDEX('参加者データ（要入力）'!$B$3:$O$102,25,4))</f>
      </c>
      <c r="E53" s="121">
        <f>IF(INDEX('参加者データ（要入力）'!$B$3:$O$102,25,5)="","",INDEX('参加者データ（要入力）'!$B$3:$O$102,25,5))</f>
      </c>
      <c r="F53" s="274">
        <f>IF(INDEX('参加者データ（要入力）'!$B$3:$O$102,25,9)="","",INDEX('参加者データ（要入力）'!$B$3:$O$102,25,9))</f>
      </c>
      <c r="G53" s="126"/>
      <c r="H53" s="131"/>
      <c r="I53" s="96">
        <f>IF(INDEX('参加者データ（要入力）'!$B$3:$O$102,25,11)="","",INDEX('参加者データ（要入力）'!$B$3:$O$102,25,11))</f>
      </c>
      <c r="J53" s="86" t="s">
        <v>96</v>
      </c>
      <c r="K53" s="97">
        <f>IF(INDEX('参加者データ（要入力）'!$B$3:$O$102,25,6)="","",INDEX('参加者データ（要入力）'!$B$3:$O$102,25,6))</f>
      </c>
      <c r="L53" s="87" t="s">
        <v>97</v>
      </c>
      <c r="M53" s="98">
        <f>IF(INDEX('参加者データ（要入力）'!$B$3:$O$102,25,8)="","",INDEX('参加者データ（要入力）'!$B$3:$O$102,25,8))</f>
      </c>
      <c r="N53" s="95">
        <f>IF(INDEX('参加者データ（要入力）'!$B$3:$O$102,25,12)="","",INDEX('参加者データ（要入力）'!$B$3:$O$102,25,12))</f>
      </c>
      <c r="O53" s="283">
        <f>IF(INDEX('参加者データ（要入力）'!$B$3:$P$102,25,14)="","",INDEX('参加者データ（要入力）'!$B$3:$P$102,25,14))</f>
      </c>
      <c r="P53" s="285">
        <f>IF(INDEX('参加者データ（要入力）'!$B$3:$P$102,25,15)="","",INDEX('参加者データ（要入力）'!$B$3:$P$102,25,15))</f>
      </c>
      <c r="Q53" s="286"/>
      <c r="R53" s="287"/>
    </row>
    <row r="54" spans="1:18" ht="31.5" customHeight="1">
      <c r="A54" s="279"/>
      <c r="B54" s="117">
        <f>IF(INDEX('参加者データ（要入力）'!$B$3:$O$102,25,1)="","",INDEX('参加者データ（要入力）'!$B$3:$O$102,25,1))</f>
      </c>
      <c r="C54" s="237"/>
      <c r="D54" s="237"/>
      <c r="E54" s="124">
        <f>IF(INDEX('参加者データ（要入力）'!$B$3:$O$102,25,5)="","",INDEX('参加者データ（要入力）'!$B$3:$O$102,25,5))</f>
      </c>
      <c r="F54" s="275"/>
      <c r="G54" s="127" t="s">
        <v>98</v>
      </c>
      <c r="H54" s="132">
        <f>IF(AND(C53="女",F53="A"),"尼","")</f>
      </c>
      <c r="I54" s="176">
        <f>IF(INDEX('参加者データ（要入力）'!$B$3:$O$102,25,10)="","",INDEX('参加者データ（要入力）'!$B$3:$O$102,25,10))</f>
      </c>
      <c r="J54" s="276">
        <f>IF(INDEX('参加者データ（要入力）'!$B$3:$O$102,25,7)="","",INDEX('参加者データ（要入力）'!$B$3:$O$102,25,7))</f>
      </c>
      <c r="K54" s="277" t="str">
        <f>INDEX('参加者データ（要入力）'!$B$2:$O$102,1,6)</f>
        <v>600-8308</v>
      </c>
      <c r="L54" s="277" t="str">
        <f>INDEX('参加者データ（要入力）'!$B$2:$O$102,1,6)</f>
        <v>600-8308</v>
      </c>
      <c r="M54" s="278" t="str">
        <f>INDEX('参加者データ（要入力）'!$B$2:$O$102,1,6)</f>
        <v>600-8308</v>
      </c>
      <c r="N54" s="99">
        <f>IF(INDEX('参加者データ（要入力）'!$B$3:$O$102,25,13)="","",INDEX('参加者データ（要入力）'!$B$3:$O$102,25,13))</f>
      </c>
      <c r="O54" s="284"/>
      <c r="P54" s="288"/>
      <c r="Q54" s="289"/>
      <c r="R54" s="290"/>
    </row>
    <row r="55" spans="1:18" ht="19.5" customHeight="1">
      <c r="A55" s="279">
        <v>26</v>
      </c>
      <c r="B55" s="118">
        <f>IF(INDEX('参加者データ（要入力）'!$B$3:$O$102,26,2)="","",INDEX('参加者データ（要入力）'!$B$3:$O$102,26,2))</f>
      </c>
      <c r="C55" s="280">
        <f>IF(INDEX('参加者データ（要入力）'!$B$3:$O$102,26,3)="","",INDEX('参加者データ（要入力）'!$B$3:$O$102,26,3))</f>
      </c>
      <c r="D55" s="280">
        <f>IF(INDEX('参加者データ（要入力）'!$B$3:$O$102,26,4)="","",INDEX('参加者データ（要入力）'!$B$3:$O$102,26,4))</f>
      </c>
      <c r="E55" s="121">
        <f>IF(INDEX('参加者データ（要入力）'!$B$3:$O$102,26,5)="","",INDEX('参加者データ（要入力）'!$B$3:$O$102,26,5))</f>
      </c>
      <c r="F55" s="274">
        <f>IF(INDEX('参加者データ（要入力）'!$B$3:$O$102,26,9)="","",INDEX('参加者データ（要入力）'!$B$3:$O$102,26,9))</f>
      </c>
      <c r="G55" s="126"/>
      <c r="H55" s="131"/>
      <c r="I55" s="96">
        <f>IF(INDEX('参加者データ（要入力）'!$B$3:$O$102,26,11)="","",INDEX('参加者データ（要入力）'!$B$3:$O$102,26,11))</f>
      </c>
      <c r="J55" s="86" t="s">
        <v>96</v>
      </c>
      <c r="K55" s="97">
        <f>IF(INDEX('参加者データ（要入力）'!$B$3:$O$102,26,6)="","",INDEX('参加者データ（要入力）'!$B$3:$O$102,26,6))</f>
      </c>
      <c r="L55" s="87" t="s">
        <v>97</v>
      </c>
      <c r="M55" s="98">
        <f>IF(INDEX('参加者データ（要入力）'!$B$3:$O$102,26,8)="","",INDEX('参加者データ（要入力）'!$B$3:$O$102,26,8))</f>
      </c>
      <c r="N55" s="95">
        <f>IF(INDEX('参加者データ（要入力）'!$B$3:$O$102,26,12)="","",INDEX('参加者データ（要入力）'!$B$3:$O$102,26,12))</f>
      </c>
      <c r="O55" s="283">
        <f>IF(INDEX('参加者データ（要入力）'!$B$3:$P$102,26,14)="","",INDEX('参加者データ（要入力）'!$B$3:$P$102,26,14))</f>
      </c>
      <c r="P55" s="285">
        <f>IF(INDEX('参加者データ（要入力）'!$B$3:$P$102,26,15)="","",INDEX('参加者データ（要入力）'!$B$3:$P$102,26,15))</f>
      </c>
      <c r="Q55" s="286"/>
      <c r="R55" s="287"/>
    </row>
    <row r="56" spans="1:18" ht="31.5" customHeight="1">
      <c r="A56" s="279"/>
      <c r="B56" s="117">
        <f>IF(INDEX('参加者データ（要入力）'!$B$3:$O$102,26,1)="","",INDEX('参加者データ（要入力）'!$B$3:$O$102,26,1))</f>
      </c>
      <c r="C56" s="237"/>
      <c r="D56" s="237"/>
      <c r="E56" s="124">
        <f>IF(INDEX('参加者データ（要入力）'!$B$3:$O$102,26,5)="","",INDEX('参加者データ（要入力）'!$B$3:$O$102,26,5))</f>
      </c>
      <c r="F56" s="275"/>
      <c r="G56" s="127" t="s">
        <v>98</v>
      </c>
      <c r="H56" s="132">
        <f>IF(AND(C55="女",F55="A"),"尼","")</f>
      </c>
      <c r="I56" s="176">
        <f>IF(INDEX('参加者データ（要入力）'!$B$3:$O$102,26,10)="","",INDEX('参加者データ（要入力）'!$B$3:$O$102,26,10))</f>
      </c>
      <c r="J56" s="276">
        <f>IF(INDEX('参加者データ（要入力）'!$B$3:$O$102,26,7)="","",INDEX('参加者データ（要入力）'!$B$3:$O$102,26,7))</f>
      </c>
      <c r="K56" s="277" t="str">
        <f>INDEX('参加者データ（要入力）'!$B$2:$O$102,1,6)</f>
        <v>600-8308</v>
      </c>
      <c r="L56" s="277" t="str">
        <f>INDEX('参加者データ（要入力）'!$B$2:$O$102,1,6)</f>
        <v>600-8308</v>
      </c>
      <c r="M56" s="278" t="str">
        <f>INDEX('参加者データ（要入力）'!$B$2:$O$102,1,6)</f>
        <v>600-8308</v>
      </c>
      <c r="N56" s="99">
        <f>IF(INDEX('参加者データ（要入力）'!$B$3:$O$102,26,13)="","",INDEX('参加者データ（要入力）'!$B$3:$O$102,26,13))</f>
      </c>
      <c r="O56" s="284"/>
      <c r="P56" s="288"/>
      <c r="Q56" s="289"/>
      <c r="R56" s="290"/>
    </row>
    <row r="57" spans="1:18" s="116" customFormat="1" ht="19.5" customHeight="1">
      <c r="A57" s="291">
        <v>27</v>
      </c>
      <c r="B57" s="119">
        <f>IF(INDEX('参加者データ（要入力）'!$B$3:$O$102,27,2)="","",INDEX('参加者データ（要入力）'!$B$3:$O$102,27,2))</f>
      </c>
      <c r="C57" s="294">
        <f>IF(INDEX('参加者データ（要入力）'!$B$3:$O$102,27,3)="","",INDEX('参加者データ（要入力）'!$B$3:$O$102,27,3))</f>
      </c>
      <c r="D57" s="246">
        <f>IF(INDEX('参加者データ（要入力）'!$B$3:$O$102,27,4)="","",INDEX('参加者データ（要入力）'!$B$3:$O$102,27,4))</f>
      </c>
      <c r="E57" s="123">
        <f>IF(INDEX('参加者データ（要入力）'!$B$3:$O$102,27,5)="","",INDEX('参加者データ（要入力）'!$B$3:$O$102,27,5))</f>
      </c>
      <c r="F57" s="292">
        <f>IF(INDEX('参加者データ（要入力）'!$B$3:$O$102,27,9)="","",INDEX('参加者データ（要入力）'!$B$3:$O$102,27,9))</f>
      </c>
      <c r="G57" s="128"/>
      <c r="H57" s="133"/>
      <c r="I57" s="110">
        <f>IF(INDEX('参加者データ（要入力）'!$B$3:$O$102,27,11)="","",INDEX('参加者データ（要入力）'!$B$3:$O$102,27,11))</f>
      </c>
      <c r="J57" s="111" t="s">
        <v>96</v>
      </c>
      <c r="K57" s="112">
        <f>IF(INDEX('参加者データ（要入力）'!$B$3:$O$102,27,6)="","",INDEX('参加者データ（要入力）'!$B$3:$O$102,27,6))</f>
      </c>
      <c r="L57" s="113" t="s">
        <v>97</v>
      </c>
      <c r="M57" s="114">
        <f>IF(INDEX('参加者データ（要入力）'!$B$3:$O$102,27,8)="","",INDEX('参加者データ（要入力）'!$B$3:$O$102,27,8))</f>
      </c>
      <c r="N57" s="115">
        <f>IF(INDEX('参加者データ（要入力）'!$B$3:$O$102,27,12)="","",INDEX('参加者データ（要入力）'!$B$3:$O$102,27,12))</f>
      </c>
      <c r="O57" s="283">
        <f>IF(INDEX('参加者データ（要入力）'!$B$3:$P$102,27,14)="","",INDEX('参加者データ（要入力）'!$B$3:$P$102,27,14))</f>
      </c>
      <c r="P57" s="285">
        <f>IF(INDEX('参加者データ（要入力）'!$B$3:$P$102,27,15)="","",INDEX('参加者データ（要入力）'!$B$3:$P$102,27,15))</f>
      </c>
      <c r="Q57" s="286"/>
      <c r="R57" s="287"/>
    </row>
    <row r="58" spans="1:18" s="116" customFormat="1" ht="31.5" customHeight="1">
      <c r="A58" s="291"/>
      <c r="B58" s="120">
        <f>IF(INDEX('参加者データ（要入力）'!$B$3:$O$102,27,1)="","",INDEX('参加者データ（要入力）'!$B$3:$O$102,27,1))</f>
      </c>
      <c r="C58" s="246"/>
      <c r="D58" s="246"/>
      <c r="E58" s="125">
        <f>IF(INDEX('参加者データ（要入力）'!$B$3:$O$102,27,5)="","",INDEX('参加者データ（要入力）'!$B$3:$O$102,27,5))</f>
      </c>
      <c r="F58" s="293"/>
      <c r="G58" s="129" t="s">
        <v>98</v>
      </c>
      <c r="H58" s="134">
        <f>IF(AND(C57="女",F57="A"),"尼","")</f>
      </c>
      <c r="I58" s="177">
        <f>IF(INDEX('参加者データ（要入力）'!$B$3:$O$102,27,10)="","",INDEX('参加者データ（要入力）'!$B$3:$O$102,27,10))</f>
      </c>
      <c r="J58" s="314">
        <f>IF(INDEX('参加者データ（要入力）'!$B$3:$O$102,27,7)="","",INDEX('参加者データ（要入力）'!$B$3:$O$102,27,7))</f>
      </c>
      <c r="K58" s="315" t="str">
        <f>INDEX('参加者データ（要入力）'!$B$2:$O$102,1,6)</f>
        <v>600-8308</v>
      </c>
      <c r="L58" s="315" t="str">
        <f>INDEX('参加者データ（要入力）'!$B$2:$O$102,1,6)</f>
        <v>600-8308</v>
      </c>
      <c r="M58" s="316" t="str">
        <f>INDEX('参加者データ（要入力）'!$B$2:$O$102,1,6)</f>
        <v>600-8308</v>
      </c>
      <c r="N58" s="109">
        <f>IF(INDEX('参加者データ（要入力）'!$B$3:$O$102,27,13)="","",INDEX('参加者データ（要入力）'!$B$3:$O$102,27,13))</f>
      </c>
      <c r="O58" s="284"/>
      <c r="P58" s="288"/>
      <c r="Q58" s="289"/>
      <c r="R58" s="290"/>
    </row>
    <row r="59" spans="1:18" ht="19.5" customHeight="1">
      <c r="A59" s="279">
        <v>28</v>
      </c>
      <c r="B59" s="118">
        <f>IF(INDEX('参加者データ（要入力）'!$B$3:$O$102,28,2)="","",INDEX('参加者データ（要入力）'!$B$3:$O$102,28,2))</f>
      </c>
      <c r="C59" s="280">
        <f>IF(INDEX('参加者データ（要入力）'!$B$3:$O$102,28,3)="","",INDEX('参加者データ（要入力）'!$B$3:$O$102,28,3))</f>
      </c>
      <c r="D59" s="280">
        <f>IF(INDEX('参加者データ（要入力）'!$B$3:$O$102,28,4)="","",INDEX('参加者データ（要入力）'!$B$3:$O$102,28,4))</f>
      </c>
      <c r="E59" s="121">
        <f>IF(INDEX('参加者データ（要入力）'!$B$3:$O$102,28,5)="","",INDEX('参加者データ（要入力）'!$B$3:$O$102,28,5))</f>
      </c>
      <c r="F59" s="274">
        <f>IF(INDEX('参加者データ（要入力）'!$B$3:$O$102,28,9)="","",INDEX('参加者データ（要入力）'!$B$3:$O$102,28,9))</f>
      </c>
      <c r="G59" s="126"/>
      <c r="H59" s="131"/>
      <c r="I59" s="96">
        <f>IF(INDEX('参加者データ（要入力）'!$B$3:$O$102,28,11)="","",INDEX('参加者データ（要入力）'!$B$3:$O$102,28,11))</f>
      </c>
      <c r="J59" s="86" t="s">
        <v>96</v>
      </c>
      <c r="K59" s="97">
        <f>IF(INDEX('参加者データ（要入力）'!$B$3:$O$102,28,6)="","",INDEX('参加者データ（要入力）'!$B$3:$O$102,28,6))</f>
      </c>
      <c r="L59" s="87" t="s">
        <v>97</v>
      </c>
      <c r="M59" s="98">
        <f>IF(INDEX('参加者データ（要入力）'!$B$3:$O$102,28,8)="","",INDEX('参加者データ（要入力）'!$B$3:$O$102,28,8))</f>
      </c>
      <c r="N59" s="95">
        <f>IF(INDEX('参加者データ（要入力）'!$B$3:$O$102,28,12)="","",INDEX('参加者データ（要入力）'!$B$3:$O$102,28,12))</f>
      </c>
      <c r="O59" s="283">
        <f>IF(INDEX('参加者データ（要入力）'!$B$3:$P$102,28,14)="","",INDEX('参加者データ（要入力）'!$B$3:$P$102,28,14))</f>
      </c>
      <c r="P59" s="285">
        <f>IF(INDEX('参加者データ（要入力）'!$B$3:$P$102,28,15)="","",INDEX('参加者データ（要入力）'!$B$3:$P$102,28,15))</f>
      </c>
      <c r="Q59" s="286"/>
      <c r="R59" s="287"/>
    </row>
    <row r="60" spans="1:18" ht="31.5" customHeight="1">
      <c r="A60" s="279"/>
      <c r="B60" s="117">
        <f>IF(INDEX('参加者データ（要入力）'!$B$3:$O$102,28,1)="","",INDEX('参加者データ（要入力）'!$B$3:$O$102,28,1))</f>
      </c>
      <c r="C60" s="237"/>
      <c r="D60" s="237"/>
      <c r="E60" s="124">
        <f>IF(INDEX('参加者データ（要入力）'!$B$3:$O$102,28,5)="","",INDEX('参加者データ（要入力）'!$B$3:$O$102,28,5))</f>
      </c>
      <c r="F60" s="275"/>
      <c r="G60" s="127" t="s">
        <v>98</v>
      </c>
      <c r="H60" s="132">
        <f>IF(AND(C59="女",F59="A"),"尼","")</f>
      </c>
      <c r="I60" s="176">
        <f>IF(INDEX('参加者データ（要入力）'!$B$3:$O$102,28,10)="","",INDEX('参加者データ（要入力）'!$B$3:$O$102,28,10))</f>
      </c>
      <c r="J60" s="276">
        <f>IF(INDEX('参加者データ（要入力）'!$B$3:$O$102,28,7)="","",INDEX('参加者データ（要入力）'!$B$3:$O$102,28,7))</f>
      </c>
      <c r="K60" s="277" t="str">
        <f>INDEX('参加者データ（要入力）'!$B$2:$O$102,1,6)</f>
        <v>600-8308</v>
      </c>
      <c r="L60" s="277" t="str">
        <f>INDEX('参加者データ（要入力）'!$B$2:$O$102,1,6)</f>
        <v>600-8308</v>
      </c>
      <c r="M60" s="278" t="str">
        <f>INDEX('参加者データ（要入力）'!$B$2:$O$102,1,6)</f>
        <v>600-8308</v>
      </c>
      <c r="N60" s="99">
        <f>IF(INDEX('参加者データ（要入力）'!$B$3:$O$102,28,13)="","",INDEX('参加者データ（要入力）'!$B$3:$O$102,28,13))</f>
      </c>
      <c r="O60" s="284"/>
      <c r="P60" s="288"/>
      <c r="Q60" s="289"/>
      <c r="R60" s="290"/>
    </row>
    <row r="61" spans="1:18" ht="19.5" customHeight="1">
      <c r="A61" s="279">
        <v>29</v>
      </c>
      <c r="B61" s="118">
        <f>IF(INDEX('参加者データ（要入力）'!$B$3:$O$102,29,2)="","",INDEX('参加者データ（要入力）'!$B$3:$O$102,29,2))</f>
      </c>
      <c r="C61" s="280">
        <f>IF(INDEX('参加者データ（要入力）'!$B$3:$O$102,29,3)="","",INDEX('参加者データ（要入力）'!$B$3:$O$102,29,3))</f>
      </c>
      <c r="D61" s="237">
        <f>IF(INDEX('参加者データ（要入力）'!$B$3:$O$102,29,4)="","",INDEX('参加者データ（要入力）'!$B$3:$O$102,29,4))</f>
      </c>
      <c r="E61" s="121">
        <f>IF(INDEX('参加者データ（要入力）'!$B$3:$O$102,29,5)="","",INDEX('参加者データ（要入力）'!$B$3:$O$102,29,5))</f>
      </c>
      <c r="F61" s="274">
        <f>IF(INDEX('参加者データ（要入力）'!$B$3:$O$102,29,9)="","",INDEX('参加者データ（要入力）'!$B$3:$O$102,29,9))</f>
      </c>
      <c r="G61" s="126"/>
      <c r="H61" s="131"/>
      <c r="I61" s="96">
        <f>IF(INDEX('参加者データ（要入力）'!$B$3:$O$102,29,11)="","",INDEX('参加者データ（要入力）'!$B$3:$O$102,29,11))</f>
      </c>
      <c r="J61" s="86" t="s">
        <v>96</v>
      </c>
      <c r="K61" s="97">
        <f>IF(INDEX('参加者データ（要入力）'!$B$3:$O$102,29,6)="","",INDEX('参加者データ（要入力）'!$B$3:$O$102,29,6))</f>
      </c>
      <c r="L61" s="87" t="s">
        <v>97</v>
      </c>
      <c r="M61" s="98">
        <f>IF(INDEX('参加者データ（要入力）'!$B$3:$O$102,29,8)="","",INDEX('参加者データ（要入力）'!$B$3:$O$102,29,8))</f>
      </c>
      <c r="N61" s="95">
        <f>IF(INDEX('参加者データ（要入力）'!$B$3:$O$102,29,12)="","",INDEX('参加者データ（要入力）'!$B$3:$O$102,29,12))</f>
      </c>
      <c r="O61" s="283">
        <f>IF(INDEX('参加者データ（要入力）'!$B$3:$P$102,29,14)="","",INDEX('参加者データ（要入力）'!$B$3:$P$102,29,14))</f>
      </c>
      <c r="P61" s="285">
        <f>IF(INDEX('参加者データ（要入力）'!$B$3:$P$102,29,15)="","",INDEX('参加者データ（要入力）'!$B$3:$P$102,29,15))</f>
      </c>
      <c r="Q61" s="286"/>
      <c r="R61" s="287"/>
    </row>
    <row r="62" spans="1:18" ht="31.5" customHeight="1">
      <c r="A62" s="279"/>
      <c r="B62" s="117">
        <f>IF(INDEX('参加者データ（要入力）'!$B$3:$O$102,29,1)="","",INDEX('参加者データ（要入力）'!$B$3:$O$102,29,1))</f>
      </c>
      <c r="C62" s="237"/>
      <c r="D62" s="237"/>
      <c r="E62" s="124">
        <f>IF(INDEX('参加者データ（要入力）'!$B$3:$O$102,29,5)="","",INDEX('参加者データ（要入力）'!$B$3:$O$102,29,5))</f>
      </c>
      <c r="F62" s="275"/>
      <c r="G62" s="127" t="s">
        <v>98</v>
      </c>
      <c r="H62" s="132">
        <f>IF(AND(C61="女",F61="A"),"尼","")</f>
      </c>
      <c r="I62" s="176">
        <f>IF(INDEX('参加者データ（要入力）'!$B$3:$O$102,29,10)="","",INDEX('参加者データ（要入力）'!$B$3:$O$102,29,10))</f>
      </c>
      <c r="J62" s="276">
        <f>IF(INDEX('参加者データ（要入力）'!$B$3:$O$102,29,7)="","",INDEX('参加者データ（要入力）'!$B$3:$O$102,29,7))</f>
      </c>
      <c r="K62" s="277" t="str">
        <f>INDEX('参加者データ（要入力）'!$B$2:$O$102,1,6)</f>
        <v>600-8308</v>
      </c>
      <c r="L62" s="277" t="str">
        <f>INDEX('参加者データ（要入力）'!$B$2:$O$102,1,6)</f>
        <v>600-8308</v>
      </c>
      <c r="M62" s="278" t="str">
        <f>INDEX('参加者データ（要入力）'!$B$2:$O$102,1,6)</f>
        <v>600-8308</v>
      </c>
      <c r="N62" s="99">
        <f>IF(INDEX('参加者データ（要入力）'!$B$3:$O$102,29,13)="","",INDEX('参加者データ（要入力）'!$B$3:$O$102,29,13))</f>
      </c>
      <c r="O62" s="284"/>
      <c r="P62" s="288"/>
      <c r="Q62" s="289"/>
      <c r="R62" s="290"/>
    </row>
    <row r="63" spans="1:18" ht="19.5" customHeight="1">
      <c r="A63" s="279">
        <v>30</v>
      </c>
      <c r="B63" s="118">
        <f>IF(INDEX('参加者データ（要入力）'!$B$3:$O$102,30,2)="","",INDEX('参加者データ（要入力）'!$B$3:$O$102,30,2))</f>
      </c>
      <c r="C63" s="280">
        <f>IF(INDEX('参加者データ（要入力）'!$B$3:$O$102,30,3)="","",INDEX('参加者データ（要入力）'!$B$3:$O$102,30,3))</f>
      </c>
      <c r="D63" s="280">
        <f>IF(INDEX('参加者データ（要入力）'!$B$3:$O$102,30,4)="","",INDEX('参加者データ（要入力）'!$B$3:$O$102,30,4))</f>
      </c>
      <c r="E63" s="121">
        <f>IF(INDEX('参加者データ（要入力）'!$B$3:$O$102,30,5)="","",INDEX('参加者データ（要入力）'!$B$3:$O$102,30,5))</f>
      </c>
      <c r="F63" s="274">
        <f>IF(INDEX('参加者データ（要入力）'!$B$3:$O$102,30,9)="","",INDEX('参加者データ（要入力）'!$B$3:$O$102,30,9))</f>
      </c>
      <c r="G63" s="126"/>
      <c r="H63" s="131"/>
      <c r="I63" s="96">
        <f>IF(INDEX('参加者データ（要入力）'!$B$3:$O$102,30,11)="","",INDEX('参加者データ（要入力）'!$B$3:$O$102,30,11))</f>
      </c>
      <c r="J63" s="86" t="s">
        <v>96</v>
      </c>
      <c r="K63" s="97">
        <f>IF(INDEX('参加者データ（要入力）'!$B$3:$O$102,30,6)="","",INDEX('参加者データ（要入力）'!$B$3:$O$102,30,6))</f>
      </c>
      <c r="L63" s="87" t="s">
        <v>97</v>
      </c>
      <c r="M63" s="98">
        <f>IF(INDEX('参加者データ（要入力）'!$B$3:$O$102,30,8)="","",INDEX('参加者データ（要入力）'!$B$3:$O$102,30,8))</f>
      </c>
      <c r="N63" s="95">
        <f>IF(INDEX('参加者データ（要入力）'!$B$3:$O$102,30,12)="","",INDEX('参加者データ（要入力）'!$B$3:$O$102,30,12))</f>
      </c>
      <c r="O63" s="283">
        <f>IF(INDEX('参加者データ（要入力）'!$B$3:$P$102,30,14)="","",INDEX('参加者データ（要入力）'!$B$3:$P$102,30,14))</f>
      </c>
      <c r="P63" s="285">
        <f>IF(INDEX('参加者データ（要入力）'!$B$3:$P$102,30,15)="","",INDEX('参加者データ（要入力）'!$B$3:$P$102,30,15))</f>
      </c>
      <c r="Q63" s="286"/>
      <c r="R63" s="287"/>
    </row>
    <row r="64" spans="1:18" ht="31.5" customHeight="1">
      <c r="A64" s="279"/>
      <c r="B64" s="117">
        <f>IF(INDEX('参加者データ（要入力）'!$B$3:$O$102,30,1)="","",INDEX('参加者データ（要入力）'!$B$3:$O$102,30,1))</f>
      </c>
      <c r="C64" s="237"/>
      <c r="D64" s="237"/>
      <c r="E64" s="122">
        <f>IF(INDEX('参加者データ（要入力）'!$B$3:$O$102,30,5)="","",INDEX('参加者データ（要入力）'!$B$3:$O$102,30,5))</f>
      </c>
      <c r="F64" s="275"/>
      <c r="G64" s="127" t="s">
        <v>98</v>
      </c>
      <c r="H64" s="132">
        <f>IF(AND(C63="女",F63="A"),"尼","")</f>
      </c>
      <c r="I64" s="176">
        <f>IF(INDEX('参加者データ（要入力）'!$B$3:$O$102,30,10)="","",INDEX('参加者データ（要入力）'!$B$3:$O$102,30,10))</f>
      </c>
      <c r="J64" s="276">
        <f>IF(INDEX('参加者データ（要入力）'!$B$3:$O$102,30,7)="","",INDEX('参加者データ（要入力）'!$B$3:$O$102,30,7))</f>
      </c>
      <c r="K64" s="277" t="str">
        <f>INDEX('参加者データ（要入力）'!$B$2:$O$102,1,6)</f>
        <v>600-8308</v>
      </c>
      <c r="L64" s="277" t="str">
        <f>INDEX('参加者データ（要入力）'!$B$2:$O$102,1,6)</f>
        <v>600-8308</v>
      </c>
      <c r="M64" s="278" t="str">
        <f>INDEX('参加者データ（要入力）'!$B$2:$O$102,1,6)</f>
        <v>600-8308</v>
      </c>
      <c r="N64" s="99">
        <f>IF(INDEX('参加者データ（要入力）'!$B$3:$O$102,30,13)="","",INDEX('参加者データ（要入力）'!$B$3:$O$102,30,13))</f>
      </c>
      <c r="O64" s="284"/>
      <c r="P64" s="288"/>
      <c r="Q64" s="289"/>
      <c r="R64" s="290"/>
    </row>
    <row r="65" spans="1:18" ht="19.5" customHeight="1">
      <c r="A65" s="279">
        <v>31</v>
      </c>
      <c r="B65" s="118">
        <f>IF(INDEX('参加者データ（要入力）'!$B$3:$O$102,31,2)="","",INDEX('参加者データ（要入力）'!$B$3:$O$102,31,2))</f>
      </c>
      <c r="C65" s="280">
        <f>IF(INDEX('参加者データ（要入力）'!$B$3:$O$102,31,3)="","",INDEX('参加者データ（要入力）'!$B$3:$O$102,31,3))</f>
      </c>
      <c r="D65" s="237">
        <f>IF(INDEX('参加者データ（要入力）'!$B$3:$O$102,31,4)="","",INDEX('参加者データ（要入力）'!$B$3:$O$102,31,4))</f>
      </c>
      <c r="E65" s="121">
        <f>IF(INDEX('参加者データ（要入力）'!$B$3:$O$102,31,5)="","",INDEX('参加者データ（要入力）'!$B$3:$O$102,31,5))</f>
      </c>
      <c r="F65" s="274">
        <f>IF(INDEX('参加者データ（要入力）'!$B$3:$O$102,31,9)="","",INDEX('参加者データ（要入力）'!$B$3:$O$102,31,9))</f>
      </c>
      <c r="G65" s="126"/>
      <c r="H65" s="131"/>
      <c r="I65" s="96">
        <f>IF(INDEX('参加者データ（要入力）'!$B$3:$O$102,31,11)="","",INDEX('参加者データ（要入力）'!$B$3:$O$102,31,11))</f>
      </c>
      <c r="J65" s="86" t="s">
        <v>96</v>
      </c>
      <c r="K65" s="97">
        <f>IF(INDEX('参加者データ（要入力）'!$B$3:$O$102,31,6)="","",INDEX('参加者データ（要入力）'!$B$3:$O$102,31,6))</f>
      </c>
      <c r="L65" s="87" t="s">
        <v>97</v>
      </c>
      <c r="M65" s="98">
        <f>IF(INDEX('参加者データ（要入力）'!$B$3:$O$102,31,8)="","",INDEX('参加者データ（要入力）'!$B$3:$O$102,31,8))</f>
      </c>
      <c r="N65" s="95">
        <f>IF(INDEX('参加者データ（要入力）'!$B$3:$O$102,31,12)="","",INDEX('参加者データ（要入力）'!$B$3:$O$102,31,12))</f>
      </c>
      <c r="O65" s="283">
        <f>IF(INDEX('参加者データ（要入力）'!$B$3:$P$102,31,14)="","",INDEX('参加者データ（要入力）'!$B$3:$P$102,31,14))</f>
      </c>
      <c r="P65" s="285">
        <f>IF(INDEX('参加者データ（要入力）'!$B$3:$P$102,31,15)="","",INDEX('参加者データ（要入力）'!$B$3:$P$102,31,15))</f>
      </c>
      <c r="Q65" s="286"/>
      <c r="R65" s="287"/>
    </row>
    <row r="66" spans="1:18" ht="31.5" customHeight="1">
      <c r="A66" s="279"/>
      <c r="B66" s="117">
        <f>IF(INDEX('参加者データ（要入力）'!$B$3:$O$102,31,1)="","",INDEX('参加者データ（要入力）'!$B$3:$O$102,31,1))</f>
      </c>
      <c r="C66" s="237"/>
      <c r="D66" s="237"/>
      <c r="E66" s="124">
        <f>IF(INDEX('参加者データ（要入力）'!$B$3:$O$102,31,5)="","",INDEX('参加者データ（要入力）'!$B$3:$O$102,31,5))</f>
      </c>
      <c r="F66" s="275"/>
      <c r="G66" s="127" t="s">
        <v>98</v>
      </c>
      <c r="H66" s="132">
        <f>IF(AND(C65="女",F65="A"),"尼","")</f>
      </c>
      <c r="I66" s="176">
        <f>IF(INDEX('参加者データ（要入力）'!$B$3:$O$102,31,10)="","",INDEX('参加者データ（要入力）'!$B$3:$O$102,31,10))</f>
      </c>
      <c r="J66" s="276">
        <f>IF(INDEX('参加者データ（要入力）'!$B$3:$O$102,31,7)="","",INDEX('参加者データ（要入力）'!$B$3:$O$102,31,7))</f>
      </c>
      <c r="K66" s="277" t="str">
        <f>INDEX('参加者データ（要入力）'!$B$2:$O$102,1,6)</f>
        <v>600-8308</v>
      </c>
      <c r="L66" s="277" t="str">
        <f>INDEX('参加者データ（要入力）'!$B$2:$O$102,1,6)</f>
        <v>600-8308</v>
      </c>
      <c r="M66" s="278" t="str">
        <f>INDEX('参加者データ（要入力）'!$B$2:$O$102,1,6)</f>
        <v>600-8308</v>
      </c>
      <c r="N66" s="99">
        <f>IF(INDEX('参加者データ（要入力）'!$B$3:$O$102,31,13)="","",INDEX('参加者データ（要入力）'!$B$3:$O$102,31,13))</f>
      </c>
      <c r="O66" s="284"/>
      <c r="P66" s="288"/>
      <c r="Q66" s="289"/>
      <c r="R66" s="290"/>
    </row>
    <row r="67" spans="1:18" ht="19.5" customHeight="1">
      <c r="A67" s="279">
        <v>32</v>
      </c>
      <c r="B67" s="118">
        <f>IF(INDEX('参加者データ（要入力）'!$B$3:$O$102,32,2)="","",INDEX('参加者データ（要入力）'!$B$3:$O$102,32,2))</f>
      </c>
      <c r="C67" s="280">
        <f>IF(INDEX('参加者データ（要入力）'!$B$3:$O$102,32,3)="","",INDEX('参加者データ（要入力）'!$B$3:$O$102,32,3))</f>
      </c>
      <c r="D67" s="280">
        <f>IF(INDEX('参加者データ（要入力）'!$B$3:$O$102,32,4)="","",INDEX('参加者データ（要入力）'!$B$3:$O$102,32,4))</f>
      </c>
      <c r="E67" s="121">
        <f>IF(INDEX('参加者データ（要入力）'!$B$3:$O$102,32,5)="","",INDEX('参加者データ（要入力）'!$B$3:$O$102,32,5))</f>
      </c>
      <c r="F67" s="274">
        <f>IF(INDEX('参加者データ（要入力）'!$B$3:$O$102,32,9)="","",INDEX('参加者データ（要入力）'!$B$3:$O$102,32,9))</f>
      </c>
      <c r="G67" s="126"/>
      <c r="H67" s="131"/>
      <c r="I67" s="96">
        <f>IF(INDEX('参加者データ（要入力）'!$B$3:$O$102,32,11)="","",INDEX('参加者データ（要入力）'!$B$3:$O$102,32,11))</f>
      </c>
      <c r="J67" s="86" t="s">
        <v>96</v>
      </c>
      <c r="K67" s="97">
        <f>IF(INDEX('参加者データ（要入力）'!$B$3:$O$102,32,6)="","",INDEX('参加者データ（要入力）'!$B$3:$O$102,32,6))</f>
      </c>
      <c r="L67" s="87" t="s">
        <v>97</v>
      </c>
      <c r="M67" s="98">
        <f>IF(INDEX('参加者データ（要入力）'!$B$3:$O$102,32,8)="","",INDEX('参加者データ（要入力）'!$B$3:$O$102,32,8))</f>
      </c>
      <c r="N67" s="95">
        <f>IF(INDEX('参加者データ（要入力）'!$B$3:$O$102,32,12)="","",INDEX('参加者データ（要入力）'!$B$3:$O$102,32,12))</f>
      </c>
      <c r="O67" s="283">
        <f>IF(INDEX('参加者データ（要入力）'!$B$3:$P$102,32,14)="","",INDEX('参加者データ（要入力）'!$B$3:$P$102,32,14))</f>
      </c>
      <c r="P67" s="285">
        <f>IF(INDEX('参加者データ（要入力）'!$B$3:$P$102,32,15)="","",INDEX('参加者データ（要入力）'!$B$3:$P$102,32,15))</f>
      </c>
      <c r="Q67" s="286"/>
      <c r="R67" s="287"/>
    </row>
    <row r="68" spans="1:18" ht="31.5" customHeight="1">
      <c r="A68" s="279"/>
      <c r="B68" s="117">
        <f>IF(INDEX('参加者データ（要入力）'!$B$3:$O$102,32,1)="","",INDEX('参加者データ（要入力）'!$B$3:$O$102,32,1))</f>
      </c>
      <c r="C68" s="237"/>
      <c r="D68" s="237"/>
      <c r="E68" s="124">
        <f>IF(INDEX('参加者データ（要入力）'!$B$3:$O$102,32,5)="","",INDEX('参加者データ（要入力）'!$B$3:$O$102,32,5))</f>
      </c>
      <c r="F68" s="275"/>
      <c r="G68" s="127" t="s">
        <v>98</v>
      </c>
      <c r="H68" s="132">
        <f>IF(AND(C67="女",F67="A"),"尼","")</f>
      </c>
      <c r="I68" s="176">
        <f>IF(INDEX('参加者データ（要入力）'!$B$3:$O$102,32,10)="","",INDEX('参加者データ（要入力）'!$B$3:$O$102,32,10))</f>
      </c>
      <c r="J68" s="276">
        <f>IF(INDEX('参加者データ（要入力）'!$B$3:$O$102,32,7)="","",INDEX('参加者データ（要入力）'!$B$3:$O$102,32,7))</f>
      </c>
      <c r="K68" s="277" t="str">
        <f>INDEX('参加者データ（要入力）'!$B$2:$O$102,1,6)</f>
        <v>600-8308</v>
      </c>
      <c r="L68" s="277" t="str">
        <f>INDEX('参加者データ（要入力）'!$B$2:$O$102,1,6)</f>
        <v>600-8308</v>
      </c>
      <c r="M68" s="278" t="str">
        <f>INDEX('参加者データ（要入力）'!$B$2:$O$102,1,6)</f>
        <v>600-8308</v>
      </c>
      <c r="N68" s="99">
        <f>IF(INDEX('参加者データ（要入力）'!$B$3:$O$102,32,13)="","",INDEX('参加者データ（要入力）'!$B$3:$O$102,32,13))</f>
      </c>
      <c r="O68" s="284"/>
      <c r="P68" s="288"/>
      <c r="Q68" s="289"/>
      <c r="R68" s="290"/>
    </row>
    <row r="69" spans="1:18" ht="19.5" customHeight="1">
      <c r="A69" s="279">
        <v>33</v>
      </c>
      <c r="B69" s="118">
        <f>IF(INDEX('参加者データ（要入力）'!$B$3:$O$102,33,2)="","",INDEX('参加者データ（要入力）'!$B$3:$O$102,33,2))</f>
      </c>
      <c r="C69" s="280">
        <f>IF(INDEX('参加者データ（要入力）'!$B$3:$O$102,33,3)="","",INDEX('参加者データ（要入力）'!$B$3:$O$102,33,3))</f>
      </c>
      <c r="D69" s="237">
        <f>IF(INDEX('参加者データ（要入力）'!$B$3:$O$102,33,4)="","",INDEX('参加者データ（要入力）'!$B$3:$O$102,33,4))</f>
      </c>
      <c r="E69" s="121">
        <f>IF(INDEX('参加者データ（要入力）'!$B$3:$O$102,33,5)="","",INDEX('参加者データ（要入力）'!$B$3:$O$102,33,5))</f>
      </c>
      <c r="F69" s="274">
        <f>IF(INDEX('参加者データ（要入力）'!$B$3:$O$102,33,9)="","",INDEX('参加者データ（要入力）'!$B$3:$O$102,33,9))</f>
      </c>
      <c r="G69" s="126"/>
      <c r="H69" s="131"/>
      <c r="I69" s="96">
        <f>IF(INDEX('参加者データ（要入力）'!$B$3:$O$102,33,11)="","",INDEX('参加者データ（要入力）'!$B$3:$O$102,33,11))</f>
      </c>
      <c r="J69" s="86" t="s">
        <v>96</v>
      </c>
      <c r="K69" s="97">
        <f>IF(INDEX('参加者データ（要入力）'!$B$3:$O$102,33,6)="","",INDEX('参加者データ（要入力）'!$B$3:$O$102,33,6))</f>
      </c>
      <c r="L69" s="87" t="s">
        <v>97</v>
      </c>
      <c r="M69" s="98">
        <f>IF(INDEX('参加者データ（要入力）'!$B$3:$O$102,33,8)="","",INDEX('参加者データ（要入力）'!$B$3:$O$102,33,8))</f>
      </c>
      <c r="N69" s="95">
        <f>IF(INDEX('参加者データ（要入力）'!$B$3:$O$102,33,12)="","",INDEX('参加者データ（要入力）'!$B$3:$O$102,33,12))</f>
      </c>
      <c r="O69" s="283">
        <f>IF(INDEX('参加者データ（要入力）'!$B$3:$P$102,33,14)="","",INDEX('参加者データ（要入力）'!$B$3:$P$102,33,14))</f>
      </c>
      <c r="P69" s="285">
        <f>IF(INDEX('参加者データ（要入力）'!$B$3:$P$102,33,15)="","",INDEX('参加者データ（要入力）'!$B$3:$P$102,33,15))</f>
      </c>
      <c r="Q69" s="286"/>
      <c r="R69" s="287"/>
    </row>
    <row r="70" spans="1:18" ht="31.5" customHeight="1">
      <c r="A70" s="279"/>
      <c r="B70" s="117">
        <f>IF(INDEX('参加者データ（要入力）'!$B$3:$O$102,33,1)="","",INDEX('参加者データ（要入力）'!$B$3:$O$102,33,1))</f>
      </c>
      <c r="C70" s="237"/>
      <c r="D70" s="237"/>
      <c r="E70" s="124">
        <f>IF(INDEX('参加者データ（要入力）'!$B$3:$O$102,33,5)="","",INDEX('参加者データ（要入力）'!$B$3:$O$102,33,5))</f>
      </c>
      <c r="F70" s="275"/>
      <c r="G70" s="127" t="s">
        <v>98</v>
      </c>
      <c r="H70" s="132">
        <f>IF(AND(C69="女",F69="A"),"尼","")</f>
      </c>
      <c r="I70" s="176">
        <f>IF(INDEX('参加者データ（要入力）'!$B$3:$O$102,33,10)="","",INDEX('参加者データ（要入力）'!$B$3:$O$102,33,10))</f>
      </c>
      <c r="J70" s="276">
        <f>IF(INDEX('参加者データ（要入力）'!$B$3:$O$102,33,7)="","",INDEX('参加者データ（要入力）'!$B$3:$O$102,33,7))</f>
      </c>
      <c r="K70" s="277" t="str">
        <f>INDEX('参加者データ（要入力）'!$B$2:$O$102,1,6)</f>
        <v>600-8308</v>
      </c>
      <c r="L70" s="277" t="str">
        <f>INDEX('参加者データ（要入力）'!$B$2:$O$102,1,6)</f>
        <v>600-8308</v>
      </c>
      <c r="M70" s="278" t="str">
        <f>INDEX('参加者データ（要入力）'!$B$2:$O$102,1,6)</f>
        <v>600-8308</v>
      </c>
      <c r="N70" s="99">
        <f>IF(INDEX('参加者データ（要入力）'!$B$3:$O$102,33,13)="","",INDEX('参加者データ（要入力）'!$B$3:$O$102,33,13))</f>
      </c>
      <c r="O70" s="284"/>
      <c r="P70" s="288"/>
      <c r="Q70" s="289"/>
      <c r="R70" s="290"/>
    </row>
    <row r="71" spans="1:18" ht="19.5" customHeight="1">
      <c r="A71" s="279">
        <v>34</v>
      </c>
      <c r="B71" s="118">
        <f>IF(INDEX('参加者データ（要入力）'!$B$3:$O$102,34,2)="","",INDEX('参加者データ（要入力）'!$B$3:$O$102,34,2))</f>
      </c>
      <c r="C71" s="280">
        <f>IF(INDEX('参加者データ（要入力）'!$B$3:$O$102,34,3)="","",INDEX('参加者データ（要入力）'!$B$3:$O$102,34,3))</f>
      </c>
      <c r="D71" s="280">
        <f>IF(INDEX('参加者データ（要入力）'!$B$3:$O$102,34,4)="","",INDEX('参加者データ（要入力）'!$B$3:$O$102,34,4))</f>
      </c>
      <c r="E71" s="121">
        <f>IF(INDEX('参加者データ（要入力）'!$B$3:$O$102,34,5)="","",INDEX('参加者データ（要入力）'!$B$3:$O$102,34,5))</f>
      </c>
      <c r="F71" s="274">
        <f>IF(INDEX('参加者データ（要入力）'!$B$3:$O$102,34,9)="","",INDEX('参加者データ（要入力）'!$B$3:$O$102,34,9))</f>
      </c>
      <c r="G71" s="126"/>
      <c r="H71" s="131"/>
      <c r="I71" s="96">
        <f>IF(INDEX('参加者データ（要入力）'!$B$3:$O$102,34,11)="","",INDEX('参加者データ（要入力）'!$B$3:$O$102,34,11))</f>
      </c>
      <c r="J71" s="86" t="s">
        <v>96</v>
      </c>
      <c r="K71" s="97">
        <f>IF(INDEX('参加者データ（要入力）'!$B$3:$O$102,34,6)="","",INDEX('参加者データ（要入力）'!$B$3:$O$102,34,6))</f>
      </c>
      <c r="L71" s="87" t="s">
        <v>97</v>
      </c>
      <c r="M71" s="98">
        <f>IF(INDEX('参加者データ（要入力）'!$B$3:$O$102,34,8)="","",INDEX('参加者データ（要入力）'!$B$3:$O$102,34,8))</f>
      </c>
      <c r="N71" s="95">
        <f>IF(INDEX('参加者データ（要入力）'!$B$3:$O$102,34,12)="","",INDEX('参加者データ（要入力）'!$B$3:$O$102,34,12))</f>
      </c>
      <c r="O71" s="283">
        <f>IF(INDEX('参加者データ（要入力）'!$B$3:$P$102,34,14)="","",INDEX('参加者データ（要入力）'!$B$3:$P$102,34,14))</f>
      </c>
      <c r="P71" s="285">
        <f>IF(INDEX('参加者データ（要入力）'!$B$3:$P$102,34,15)="","",INDEX('参加者データ（要入力）'!$B$3:$P$102,34,15))</f>
      </c>
      <c r="Q71" s="286"/>
      <c r="R71" s="287"/>
    </row>
    <row r="72" spans="1:18" ht="31.5" customHeight="1">
      <c r="A72" s="279"/>
      <c r="B72" s="117">
        <f>IF(INDEX('参加者データ（要入力）'!$B$3:$O$102,34,1)="","",INDEX('参加者データ（要入力）'!$B$3:$O$102,34,1))</f>
      </c>
      <c r="C72" s="237"/>
      <c r="D72" s="237"/>
      <c r="E72" s="124">
        <f>IF(INDEX('参加者データ（要入力）'!$B$3:$O$102,34,5)="","",INDEX('参加者データ（要入力）'!$B$3:$O$102,34,5))</f>
      </c>
      <c r="F72" s="275"/>
      <c r="G72" s="127" t="s">
        <v>98</v>
      </c>
      <c r="H72" s="132">
        <f>IF(AND(C71="女",F71="A"),"尼","")</f>
      </c>
      <c r="I72" s="176">
        <f>IF(INDEX('参加者データ（要入力）'!$B$3:$O$102,34,10)="","",INDEX('参加者データ（要入力）'!$B$3:$O$102,34,10))</f>
      </c>
      <c r="J72" s="276">
        <f>IF(INDEX('参加者データ（要入力）'!$B$3:$O$102,34,7)="","",INDEX('参加者データ（要入力）'!$B$3:$O$102,34,7))</f>
      </c>
      <c r="K72" s="277" t="str">
        <f>INDEX('参加者データ（要入力）'!$B$2:$O$102,1,6)</f>
        <v>600-8308</v>
      </c>
      <c r="L72" s="277" t="str">
        <f>INDEX('参加者データ（要入力）'!$B$2:$O$102,1,6)</f>
        <v>600-8308</v>
      </c>
      <c r="M72" s="278" t="str">
        <f>INDEX('参加者データ（要入力）'!$B$2:$O$102,1,6)</f>
        <v>600-8308</v>
      </c>
      <c r="N72" s="99">
        <f>IF(INDEX('参加者データ（要入力）'!$B$3:$O$102,34,13)="","",INDEX('参加者データ（要入力）'!$B$3:$O$102,34,13))</f>
      </c>
      <c r="O72" s="284"/>
      <c r="P72" s="288"/>
      <c r="Q72" s="289"/>
      <c r="R72" s="290"/>
    </row>
    <row r="73" spans="1:18" ht="19.5" customHeight="1">
      <c r="A73" s="279">
        <v>35</v>
      </c>
      <c r="B73" s="118">
        <f>IF(INDEX('参加者データ（要入力）'!$B$3:$O$102,35,2)="","",INDEX('参加者データ（要入力）'!$B$3:$O$102,35,2))</f>
      </c>
      <c r="C73" s="280">
        <f>IF(INDEX('参加者データ（要入力）'!$B$3:$O$102,35,3)="","",INDEX('参加者データ（要入力）'!$B$3:$O$102,35,3))</f>
      </c>
      <c r="D73" s="237">
        <f>IF(INDEX('参加者データ（要入力）'!$B$3:$O$102,35,4)="","",INDEX('参加者データ（要入力）'!$B$3:$O$102,35,4))</f>
      </c>
      <c r="E73" s="121">
        <f>IF(INDEX('参加者データ（要入力）'!$B$3:$O$102,35,5)="","",INDEX('参加者データ（要入力）'!$B$3:$O$102,35,5))</f>
      </c>
      <c r="F73" s="274">
        <f>IF(INDEX('参加者データ（要入力）'!$B$3:$O$102,35,9)="","",INDEX('参加者データ（要入力）'!$B$3:$O$102,35,9))</f>
      </c>
      <c r="G73" s="126"/>
      <c r="H73" s="131"/>
      <c r="I73" s="96">
        <f>IF(INDEX('参加者データ（要入力）'!$B$3:$O$102,35,11)="","",INDEX('参加者データ（要入力）'!$B$3:$O$102,35,11))</f>
      </c>
      <c r="J73" s="86" t="s">
        <v>96</v>
      </c>
      <c r="K73" s="97">
        <f>IF(INDEX('参加者データ（要入力）'!$B$3:$O$102,35,6)="","",INDEX('参加者データ（要入力）'!$B$3:$O$102,35,6))</f>
      </c>
      <c r="L73" s="87" t="s">
        <v>97</v>
      </c>
      <c r="M73" s="98">
        <f>IF(INDEX('参加者データ（要入力）'!$B$3:$O$102,35,8)="","",INDEX('参加者データ（要入力）'!$B$3:$O$102,35,8))</f>
      </c>
      <c r="N73" s="95">
        <f>IF(INDEX('参加者データ（要入力）'!$B$3:$O$102,35,12)="","",INDEX('参加者データ（要入力）'!$B$3:$O$102,35,12))</f>
      </c>
      <c r="O73" s="283">
        <f>IF(INDEX('参加者データ（要入力）'!$B$3:$P$102,35,14)="","",INDEX('参加者データ（要入力）'!$B$3:$P$102,35,14))</f>
      </c>
      <c r="P73" s="285">
        <f>IF(INDEX('参加者データ（要入力）'!$B$3:$P$102,35,15)="","",INDEX('参加者データ（要入力）'!$B$3:$P$102,35,15))</f>
      </c>
      <c r="Q73" s="286"/>
      <c r="R73" s="287"/>
    </row>
    <row r="74" spans="1:18" ht="31.5" customHeight="1">
      <c r="A74" s="279"/>
      <c r="B74" s="117">
        <f>IF(INDEX('参加者データ（要入力）'!$B$3:$O$102,35,1)="","",INDEX('参加者データ（要入力）'!$B$3:$O$102,35,1))</f>
      </c>
      <c r="C74" s="237"/>
      <c r="D74" s="237"/>
      <c r="E74" s="124">
        <f>IF(INDEX('参加者データ（要入力）'!$B$3:$O$102,35,5)="","",INDEX('参加者データ（要入力）'!$B$3:$O$102,35,5))</f>
      </c>
      <c r="F74" s="275"/>
      <c r="G74" s="127" t="s">
        <v>98</v>
      </c>
      <c r="H74" s="132">
        <f>IF(AND(C73="女",F73="A"),"尼","")</f>
      </c>
      <c r="I74" s="176">
        <f>IF(INDEX('参加者データ（要入力）'!$B$3:$O$102,35,10)="","",INDEX('参加者データ（要入力）'!$B$3:$O$102,35,10))</f>
      </c>
      <c r="J74" s="276">
        <f>IF(INDEX('参加者データ（要入力）'!$B$3:$O$102,35,7)="","",INDEX('参加者データ（要入力）'!$B$3:$O$102,35,7))</f>
      </c>
      <c r="K74" s="277" t="str">
        <f>INDEX('参加者データ（要入力）'!$B$2:$O$102,1,6)</f>
        <v>600-8308</v>
      </c>
      <c r="L74" s="277" t="str">
        <f>INDEX('参加者データ（要入力）'!$B$2:$O$102,1,6)</f>
        <v>600-8308</v>
      </c>
      <c r="M74" s="278" t="str">
        <f>INDEX('参加者データ（要入力）'!$B$2:$O$102,1,6)</f>
        <v>600-8308</v>
      </c>
      <c r="N74" s="99">
        <f>IF(INDEX('参加者データ（要入力）'!$B$3:$O$102,35,13)="","",INDEX('参加者データ（要入力）'!$B$3:$O$102,35,13))</f>
      </c>
      <c r="O74" s="284"/>
      <c r="P74" s="288"/>
      <c r="Q74" s="289"/>
      <c r="R74" s="290"/>
    </row>
    <row r="75" spans="1:18" ht="19.5" customHeight="1">
      <c r="A75" s="279">
        <v>36</v>
      </c>
      <c r="B75" s="118">
        <f>IF(INDEX('参加者データ（要入力）'!$B$3:$O$102,36,2)="","",INDEX('参加者データ（要入力）'!$B$3:$O$102,36,2))</f>
      </c>
      <c r="C75" s="280">
        <f>IF(INDEX('参加者データ（要入力）'!$B$3:$O$102,36,3)="","",INDEX('参加者データ（要入力）'!$B$3:$O$102,36,3))</f>
      </c>
      <c r="D75" s="280">
        <f>IF(INDEX('参加者データ（要入力）'!$B$3:$O$102,36,4)="","",INDEX('参加者データ（要入力）'!$B$3:$O$102,36,4))</f>
      </c>
      <c r="E75" s="121">
        <f>IF(INDEX('参加者データ（要入力）'!$B$3:$O$102,36,5)="","",INDEX('参加者データ（要入力）'!$B$3:$O$102,36,5))</f>
      </c>
      <c r="F75" s="274">
        <f>IF(INDEX('参加者データ（要入力）'!$B$3:$O$102,36,9)="","",INDEX('参加者データ（要入力）'!$B$3:$O$102,36,9))</f>
      </c>
      <c r="G75" s="126"/>
      <c r="H75" s="131"/>
      <c r="I75" s="96">
        <f>IF(INDEX('参加者データ（要入力）'!$B$3:$O$102,36,11)="","",INDEX('参加者データ（要入力）'!$B$3:$O$102,36,11))</f>
      </c>
      <c r="J75" s="86" t="s">
        <v>96</v>
      </c>
      <c r="K75" s="97">
        <f>IF(INDEX('参加者データ（要入力）'!$B$3:$O$102,36,6)="","",INDEX('参加者データ（要入力）'!$B$3:$O$102,36,6))</f>
      </c>
      <c r="L75" s="87" t="s">
        <v>97</v>
      </c>
      <c r="M75" s="98">
        <f>IF(INDEX('参加者データ（要入力）'!$B$3:$O$102,36,8)="","",INDEX('参加者データ（要入力）'!$B$3:$O$102,36,8))</f>
      </c>
      <c r="N75" s="95">
        <f>IF(INDEX('参加者データ（要入力）'!$B$3:$O$102,36,12)="","",INDEX('参加者データ（要入力）'!$B$3:$O$102,36,12))</f>
      </c>
      <c r="O75" s="283">
        <f>IF(INDEX('参加者データ（要入力）'!$B$3:$P$102,36,14)="","",INDEX('参加者データ（要入力）'!$B$3:$P$102,36,14))</f>
      </c>
      <c r="P75" s="285">
        <f>IF(INDEX('参加者データ（要入力）'!$B$3:$P$102,36,15)="","",INDEX('参加者データ（要入力）'!$B$3:$P$102,36,15))</f>
      </c>
      <c r="Q75" s="286"/>
      <c r="R75" s="287"/>
    </row>
    <row r="76" spans="1:18" ht="31.5" customHeight="1">
      <c r="A76" s="279"/>
      <c r="B76" s="117">
        <f>IF(INDEX('参加者データ（要入力）'!$B$3:$O$102,36,1)="","",INDEX('参加者データ（要入力）'!$B$3:$O$102,36,1))</f>
      </c>
      <c r="C76" s="237"/>
      <c r="D76" s="237"/>
      <c r="E76" s="124">
        <f>IF(INDEX('参加者データ（要入力）'!$B$3:$O$102,36,5)="","",INDEX('参加者データ（要入力）'!$B$3:$O$102,36,5))</f>
      </c>
      <c r="F76" s="275"/>
      <c r="G76" s="127" t="s">
        <v>98</v>
      </c>
      <c r="H76" s="132">
        <f>IF(AND(C75="女",F75="A"),"尼","")</f>
      </c>
      <c r="I76" s="176">
        <f>IF(INDEX('参加者データ（要入力）'!$B$3:$O$102,36,10)="","",INDEX('参加者データ（要入力）'!$B$3:$O$102,36,10))</f>
      </c>
      <c r="J76" s="276">
        <f>IF(INDEX('参加者データ（要入力）'!$B$3:$O$102,36,7)="","",INDEX('参加者データ（要入力）'!$B$3:$O$102,36,7))</f>
      </c>
      <c r="K76" s="277" t="str">
        <f>INDEX('参加者データ（要入力）'!$B$2:$O$102,1,6)</f>
        <v>600-8308</v>
      </c>
      <c r="L76" s="277" t="str">
        <f>INDEX('参加者データ（要入力）'!$B$2:$O$102,1,6)</f>
        <v>600-8308</v>
      </c>
      <c r="M76" s="278" t="str">
        <f>INDEX('参加者データ（要入力）'!$B$2:$O$102,1,6)</f>
        <v>600-8308</v>
      </c>
      <c r="N76" s="99">
        <f>IF(INDEX('参加者データ（要入力）'!$B$3:$O$102,36,13)="","",INDEX('参加者データ（要入力）'!$B$3:$O$102,36,13))</f>
      </c>
      <c r="O76" s="284"/>
      <c r="P76" s="288"/>
      <c r="Q76" s="289"/>
      <c r="R76" s="290"/>
    </row>
    <row r="77" spans="1:18" ht="19.5" customHeight="1">
      <c r="A77" s="279">
        <v>37</v>
      </c>
      <c r="B77" s="118">
        <f>IF(INDEX('参加者データ（要入力）'!$B$3:$O$102,37,2)="","",INDEX('参加者データ（要入力）'!$B$3:$O$102,37,2))</f>
      </c>
      <c r="C77" s="280">
        <f>IF(INDEX('参加者データ（要入力）'!$B$3:$O$102,37,3)="","",INDEX('参加者データ（要入力）'!$B$3:$O$102,37,3))</f>
      </c>
      <c r="D77" s="237">
        <f>IF(INDEX('参加者データ（要入力）'!$B$3:$O$102,37,4)="","",INDEX('参加者データ（要入力）'!$B$3:$O$102,37,4))</f>
      </c>
      <c r="E77" s="121">
        <f>IF(INDEX('参加者データ（要入力）'!$B$3:$O$102,37,5)="","",INDEX('参加者データ（要入力）'!$B$3:$O$102,37,5))</f>
      </c>
      <c r="F77" s="274">
        <f>IF(INDEX('参加者データ（要入力）'!$B$3:$O$102,37,9)="","",INDEX('参加者データ（要入力）'!$B$3:$O$102,37,9))</f>
      </c>
      <c r="G77" s="126"/>
      <c r="H77" s="131"/>
      <c r="I77" s="96">
        <f>IF(INDEX('参加者データ（要入力）'!$B$3:$O$102,37,11)="","",INDEX('参加者データ（要入力）'!$B$3:$O$102,37,11))</f>
      </c>
      <c r="J77" s="86" t="s">
        <v>96</v>
      </c>
      <c r="K77" s="97">
        <f>IF(INDEX('参加者データ（要入力）'!$B$3:$O$102,37,6)="","",INDEX('参加者データ（要入力）'!$B$3:$O$102,37,6))</f>
      </c>
      <c r="L77" s="87" t="s">
        <v>97</v>
      </c>
      <c r="M77" s="98">
        <f>IF(INDEX('参加者データ（要入力）'!$B$3:$O$102,37,8)="","",INDEX('参加者データ（要入力）'!$B$3:$O$102,37,8))</f>
      </c>
      <c r="N77" s="95">
        <f>IF(INDEX('参加者データ（要入力）'!$B$3:$O$102,37,12)="","",INDEX('参加者データ（要入力）'!$B$3:$O$102,37,12))</f>
      </c>
      <c r="O77" s="283">
        <f>IF(INDEX('参加者データ（要入力）'!$B$3:$P$102,37,14)="","",INDEX('参加者データ（要入力）'!$B$3:$P$102,37,14))</f>
      </c>
      <c r="P77" s="285">
        <f>IF(INDEX('参加者データ（要入力）'!$B$3:$P$102,37,15)="","",INDEX('参加者データ（要入力）'!$B$3:$P$102,37,15))</f>
      </c>
      <c r="Q77" s="286"/>
      <c r="R77" s="287"/>
    </row>
    <row r="78" spans="1:18" ht="31.5" customHeight="1">
      <c r="A78" s="279"/>
      <c r="B78" s="117">
        <f>IF(INDEX('参加者データ（要入力）'!$B$3:$O$102,37,1)="","",INDEX('参加者データ（要入力）'!$B$3:$O$102,37,1))</f>
      </c>
      <c r="C78" s="237"/>
      <c r="D78" s="237"/>
      <c r="E78" s="124">
        <f>IF(INDEX('参加者データ（要入力）'!$B$3:$O$102,37,5)="","",INDEX('参加者データ（要入力）'!$B$3:$O$102,37,5))</f>
      </c>
      <c r="F78" s="275"/>
      <c r="G78" s="127" t="s">
        <v>98</v>
      </c>
      <c r="H78" s="132">
        <f>IF(AND(C77="女",F77="A"),"尼","")</f>
      </c>
      <c r="I78" s="176">
        <f>IF(INDEX('参加者データ（要入力）'!$B$3:$O$102,37,10)="","",INDEX('参加者データ（要入力）'!$B$3:$O$102,37,10))</f>
      </c>
      <c r="J78" s="276">
        <f>IF(INDEX('参加者データ（要入力）'!$B$3:$O$102,37,7)="","",INDEX('参加者データ（要入力）'!$B$3:$O$102,37,7))</f>
      </c>
      <c r="K78" s="277" t="str">
        <f>INDEX('参加者データ（要入力）'!$B$2:$O$102,1,6)</f>
        <v>600-8308</v>
      </c>
      <c r="L78" s="277" t="str">
        <f>INDEX('参加者データ（要入力）'!$B$2:$O$102,1,6)</f>
        <v>600-8308</v>
      </c>
      <c r="M78" s="278" t="str">
        <f>INDEX('参加者データ（要入力）'!$B$2:$O$102,1,6)</f>
        <v>600-8308</v>
      </c>
      <c r="N78" s="99">
        <f>IF(INDEX('参加者データ（要入力）'!$B$3:$O$102,37,13)="","",INDEX('参加者データ（要入力）'!$B$3:$O$102,37,13))</f>
      </c>
      <c r="O78" s="284"/>
      <c r="P78" s="288"/>
      <c r="Q78" s="289"/>
      <c r="R78" s="290"/>
    </row>
    <row r="79" spans="1:18" ht="19.5" customHeight="1">
      <c r="A79" s="279">
        <v>38</v>
      </c>
      <c r="B79" s="118">
        <f>IF(INDEX('参加者データ（要入力）'!$B$3:$O$102,38,2)="","",INDEX('参加者データ（要入力）'!$B$3:$O$102,38,2))</f>
      </c>
      <c r="C79" s="280">
        <f>IF(INDEX('参加者データ（要入力）'!$B$3:$O$102,38,3)="","",INDEX('参加者データ（要入力）'!$B$3:$O$102,38,3))</f>
      </c>
      <c r="D79" s="280">
        <f>IF(INDEX('参加者データ（要入力）'!$B$3:$O$102,38,4)="","",INDEX('参加者データ（要入力）'!$B$3:$O$102,38,4))</f>
      </c>
      <c r="E79" s="121">
        <f>IF(INDEX('参加者データ（要入力）'!$B$3:$O$102,38,5)="","",INDEX('参加者データ（要入力）'!$B$3:$O$102,38,5))</f>
      </c>
      <c r="F79" s="274">
        <f>IF(INDEX('参加者データ（要入力）'!$B$3:$O$102,38,9)="","",INDEX('参加者データ（要入力）'!$B$3:$O$102,38,9))</f>
      </c>
      <c r="G79" s="126"/>
      <c r="H79" s="131"/>
      <c r="I79" s="96">
        <f>IF(INDEX('参加者データ（要入力）'!$B$3:$O$102,38,11)="","",INDEX('参加者データ（要入力）'!$B$3:$O$102,38,11))</f>
      </c>
      <c r="J79" s="86" t="s">
        <v>96</v>
      </c>
      <c r="K79" s="97">
        <f>IF(INDEX('参加者データ（要入力）'!$B$3:$O$102,38,6)="","",INDEX('参加者データ（要入力）'!$B$3:$O$102,38,6))</f>
      </c>
      <c r="L79" s="87" t="s">
        <v>97</v>
      </c>
      <c r="M79" s="98">
        <f>IF(INDEX('参加者データ（要入力）'!$B$3:$O$102,38,8)="","",INDEX('参加者データ（要入力）'!$B$3:$O$102,38,8))</f>
      </c>
      <c r="N79" s="95">
        <f>IF(INDEX('参加者データ（要入力）'!$B$3:$O$102,38,12)="","",INDEX('参加者データ（要入力）'!$B$3:$O$102,38,12))</f>
      </c>
      <c r="O79" s="283">
        <f>IF(INDEX('参加者データ（要入力）'!$B$3:$P$102,38,14)="","",INDEX('参加者データ（要入力）'!$B$3:$P$102,38,14))</f>
      </c>
      <c r="P79" s="285">
        <f>IF(INDEX('参加者データ（要入力）'!$B$3:$P$102,38,15)="","",INDEX('参加者データ（要入力）'!$B$3:$P$102,38,15))</f>
      </c>
      <c r="Q79" s="286"/>
      <c r="R79" s="287"/>
    </row>
    <row r="80" spans="1:18" ht="31.5" customHeight="1">
      <c r="A80" s="279"/>
      <c r="B80" s="117">
        <f>IF(INDEX('参加者データ（要入力）'!$B$3:$O$102,38,1)="","",INDEX('参加者データ（要入力）'!$B$3:$O$102,38,1))</f>
      </c>
      <c r="C80" s="237"/>
      <c r="D80" s="237"/>
      <c r="E80" s="124">
        <f>IF(INDEX('参加者データ（要入力）'!$B$3:$O$102,38,5)="","",INDEX('参加者データ（要入力）'!$B$3:$O$102,38,5))</f>
      </c>
      <c r="F80" s="275"/>
      <c r="G80" s="127" t="s">
        <v>98</v>
      </c>
      <c r="H80" s="132">
        <f>IF(AND(C79="女",F79="A"),"尼","")</f>
      </c>
      <c r="I80" s="176">
        <f>IF(INDEX('参加者データ（要入力）'!$B$3:$O$102,38,10)="","",INDEX('参加者データ（要入力）'!$B$3:$O$102,38,10))</f>
      </c>
      <c r="J80" s="276">
        <f>IF(INDEX('参加者データ（要入力）'!$B$3:$O$102,38,7)="","",INDEX('参加者データ（要入力）'!$B$3:$O$102,38,7))</f>
      </c>
      <c r="K80" s="277" t="str">
        <f>INDEX('参加者データ（要入力）'!$B$2:$O$102,1,6)</f>
        <v>600-8308</v>
      </c>
      <c r="L80" s="277" t="str">
        <f>INDEX('参加者データ（要入力）'!$B$2:$O$102,1,6)</f>
        <v>600-8308</v>
      </c>
      <c r="M80" s="278" t="str">
        <f>INDEX('参加者データ（要入力）'!$B$2:$O$102,1,6)</f>
        <v>600-8308</v>
      </c>
      <c r="N80" s="99">
        <f>IF(INDEX('参加者データ（要入力）'!$B$3:$O$102,38,13)="","",INDEX('参加者データ（要入力）'!$B$3:$O$102,38,13))</f>
      </c>
      <c r="O80" s="284"/>
      <c r="P80" s="288"/>
      <c r="Q80" s="289"/>
      <c r="R80" s="290"/>
    </row>
    <row r="81" spans="1:18" ht="19.5" customHeight="1">
      <c r="A81" s="279">
        <v>39</v>
      </c>
      <c r="B81" s="118">
        <f>IF(INDEX('参加者データ（要入力）'!$B$3:$O$102,39,2)="","",INDEX('参加者データ（要入力）'!$B$3:$O$102,39,2))</f>
      </c>
      <c r="C81" s="280">
        <f>IF(INDEX('参加者データ（要入力）'!$B$3:$O$102,39,3)="","",INDEX('参加者データ（要入力）'!$B$3:$O$102,39,3))</f>
      </c>
      <c r="D81" s="237">
        <f>IF(INDEX('参加者データ（要入力）'!$B$3:$O$102,39,4)="","",INDEX('参加者データ（要入力）'!$B$3:$O$102,39,4))</f>
      </c>
      <c r="E81" s="121">
        <f>IF(INDEX('参加者データ（要入力）'!$B$3:$O$102,39,5)="","",INDEX('参加者データ（要入力）'!$B$3:$O$102,39,5))</f>
      </c>
      <c r="F81" s="274">
        <f>IF(INDEX('参加者データ（要入力）'!$B$3:$O$102,39,9)="","",INDEX('参加者データ（要入力）'!$B$3:$O$102,39,9))</f>
      </c>
      <c r="G81" s="126"/>
      <c r="H81" s="131"/>
      <c r="I81" s="96">
        <f>IF(INDEX('参加者データ（要入力）'!$B$3:$O$102,39,11)="","",INDEX('参加者データ（要入力）'!$B$3:$O$102,39,11))</f>
      </c>
      <c r="J81" s="86" t="s">
        <v>96</v>
      </c>
      <c r="K81" s="97">
        <f>IF(INDEX('参加者データ（要入力）'!$B$3:$O$102,39,6)="","",INDEX('参加者データ（要入力）'!$B$3:$O$102,39,6))</f>
      </c>
      <c r="L81" s="87" t="s">
        <v>97</v>
      </c>
      <c r="M81" s="98">
        <f>IF(INDEX('参加者データ（要入力）'!$B$3:$O$102,39,8)="","",INDEX('参加者データ（要入力）'!$B$3:$O$102,39,8))</f>
      </c>
      <c r="N81" s="95">
        <f>IF(INDEX('参加者データ（要入力）'!$B$3:$O$102,39,12)="","",INDEX('参加者データ（要入力）'!$B$3:$O$102,39,12))</f>
      </c>
      <c r="O81" s="283">
        <f>IF(INDEX('参加者データ（要入力）'!$B$3:$P$102,39,14)="","",INDEX('参加者データ（要入力）'!$B$3:$P$102,39,14))</f>
      </c>
      <c r="P81" s="285">
        <f>IF(INDEX('参加者データ（要入力）'!$B$3:$P$102,39,15)="","",INDEX('参加者データ（要入力）'!$B$3:$P$102,39,15))</f>
      </c>
      <c r="Q81" s="286"/>
      <c r="R81" s="287"/>
    </row>
    <row r="82" spans="1:18" ht="31.5" customHeight="1">
      <c r="A82" s="279"/>
      <c r="B82" s="117">
        <f>IF(INDEX('参加者データ（要入力）'!$B$3:$O$102,39,1)="","",INDEX('参加者データ（要入力）'!$B$3:$O$102,39,1))</f>
      </c>
      <c r="C82" s="237"/>
      <c r="D82" s="237"/>
      <c r="E82" s="124">
        <f>IF(INDEX('参加者データ（要入力）'!$B$3:$O$102,39,5)="","",INDEX('参加者データ（要入力）'!$B$3:$O$102,39,5))</f>
      </c>
      <c r="F82" s="275"/>
      <c r="G82" s="127" t="s">
        <v>98</v>
      </c>
      <c r="H82" s="132">
        <f>IF(AND(C81="女",F81="A"),"尼","")</f>
      </c>
      <c r="I82" s="176">
        <f>IF(INDEX('参加者データ（要入力）'!$B$3:$O$102,39,10)="","",INDEX('参加者データ（要入力）'!$B$3:$O$102,39,10))</f>
      </c>
      <c r="J82" s="276">
        <f>IF(INDEX('参加者データ（要入力）'!$B$3:$O$102,39,7)="","",INDEX('参加者データ（要入力）'!$B$3:$O$102,39,7))</f>
      </c>
      <c r="K82" s="277" t="str">
        <f>INDEX('参加者データ（要入力）'!$B$2:$O$102,1,6)</f>
        <v>600-8308</v>
      </c>
      <c r="L82" s="277" t="str">
        <f>INDEX('参加者データ（要入力）'!$B$2:$O$102,1,6)</f>
        <v>600-8308</v>
      </c>
      <c r="M82" s="278" t="str">
        <f>INDEX('参加者データ（要入力）'!$B$2:$O$102,1,6)</f>
        <v>600-8308</v>
      </c>
      <c r="N82" s="99">
        <f>IF(INDEX('参加者データ（要入力）'!$B$3:$O$102,39,13)="","",INDEX('参加者データ（要入力）'!$B$3:$O$102,39,13))</f>
      </c>
      <c r="O82" s="284"/>
      <c r="P82" s="288"/>
      <c r="Q82" s="289"/>
      <c r="R82" s="290"/>
    </row>
    <row r="83" spans="1:18" ht="19.5" customHeight="1">
      <c r="A83" s="279">
        <v>40</v>
      </c>
      <c r="B83" s="118">
        <f>IF(INDEX('参加者データ（要入力）'!$B$3:$O$102,40,2)="","",INDEX('参加者データ（要入力）'!$B$3:$O$102,40,2))</f>
      </c>
      <c r="C83" s="280">
        <f>IF(INDEX('参加者データ（要入力）'!$B$3:$O$102,40,3)="","",INDEX('参加者データ（要入力）'!$B$3:$O$102,40,3))</f>
      </c>
      <c r="D83" s="280">
        <f>IF(INDEX('参加者データ（要入力）'!$B$3:$O$102,40,4)="","",INDEX('参加者データ（要入力）'!$B$3:$O$102,40,4))</f>
      </c>
      <c r="E83" s="121">
        <f>IF(INDEX('参加者データ（要入力）'!$B$3:$O$102,40,5)="","",INDEX('参加者データ（要入力）'!$B$3:$O$102,40,5))</f>
      </c>
      <c r="F83" s="274">
        <f>IF(INDEX('参加者データ（要入力）'!$B$3:$O$102,40,9)="","",INDEX('参加者データ（要入力）'!$B$3:$O$102,40,9))</f>
      </c>
      <c r="G83" s="126"/>
      <c r="H83" s="131"/>
      <c r="I83" s="96">
        <f>IF(INDEX('参加者データ（要入力）'!$B$3:$O$102,40,11)="","",INDEX('参加者データ（要入力）'!$B$3:$O$102,40,11))</f>
      </c>
      <c r="J83" s="86" t="s">
        <v>96</v>
      </c>
      <c r="K83" s="97">
        <f>IF(INDEX('参加者データ（要入力）'!$B$3:$O$102,40,6)="","",INDEX('参加者データ（要入力）'!$B$3:$O$102,40,6))</f>
      </c>
      <c r="L83" s="87" t="s">
        <v>97</v>
      </c>
      <c r="M83" s="98">
        <f>IF(INDEX('参加者データ（要入力）'!$B$3:$O$102,40,8)="","",INDEX('参加者データ（要入力）'!$B$3:$O$102,40,8))</f>
      </c>
      <c r="N83" s="95">
        <f>IF(INDEX('参加者データ（要入力）'!$B$3:$O$102,40,12)="","",INDEX('参加者データ（要入力）'!$B$3:$O$102,40,12))</f>
      </c>
      <c r="O83" s="283">
        <f>IF(INDEX('参加者データ（要入力）'!$B$3:$P$102,40,14)="","",INDEX('参加者データ（要入力）'!$B$3:$P$102,40,14))</f>
      </c>
      <c r="P83" s="285">
        <f>IF(INDEX('参加者データ（要入力）'!$B$3:$P$102,40,15)="","",INDEX('参加者データ（要入力）'!$B$3:$P$102,40,15))</f>
      </c>
      <c r="Q83" s="286"/>
      <c r="R83" s="287"/>
    </row>
    <row r="84" spans="1:18" ht="31.5" customHeight="1">
      <c r="A84" s="279"/>
      <c r="B84" s="117">
        <f>IF(INDEX('参加者データ（要入力）'!$B$3:$O$102,40,1)="","",INDEX('参加者データ（要入力）'!$B$3:$O$102,40,1))</f>
      </c>
      <c r="C84" s="237"/>
      <c r="D84" s="237"/>
      <c r="E84" s="124">
        <f>IF(INDEX('参加者データ（要入力）'!$B$3:$O$102,40,5)="","",INDEX('参加者データ（要入力）'!$B$3:$O$102,40,5))</f>
      </c>
      <c r="F84" s="275"/>
      <c r="G84" s="127" t="s">
        <v>98</v>
      </c>
      <c r="H84" s="132">
        <f>IF(AND(C83="女",F83="A"),"尼","")</f>
      </c>
      <c r="I84" s="176">
        <f>IF(INDEX('参加者データ（要入力）'!$B$3:$O$102,40,10)="","",INDEX('参加者データ（要入力）'!$B$3:$O$102,40,10))</f>
      </c>
      <c r="J84" s="276">
        <f>IF(INDEX('参加者データ（要入力）'!$B$3:$O$102,40,7)="","",INDEX('参加者データ（要入力）'!$B$3:$O$102,40,7))</f>
      </c>
      <c r="K84" s="277" t="str">
        <f>INDEX('参加者データ（要入力）'!$B$2:$O$102,1,6)</f>
        <v>600-8308</v>
      </c>
      <c r="L84" s="277" t="str">
        <f>INDEX('参加者データ（要入力）'!$B$2:$O$102,1,6)</f>
        <v>600-8308</v>
      </c>
      <c r="M84" s="278" t="str">
        <f>INDEX('参加者データ（要入力）'!$B$2:$O$102,1,6)</f>
        <v>600-8308</v>
      </c>
      <c r="N84" s="99">
        <f>IF(INDEX('参加者データ（要入力）'!$B$3:$O$102,40,13)="","",INDEX('参加者データ（要入力）'!$B$3:$O$102,40,13))</f>
      </c>
      <c r="O84" s="284"/>
      <c r="P84" s="288"/>
      <c r="Q84" s="289"/>
      <c r="R84" s="290"/>
    </row>
    <row r="85" spans="1:18" ht="19.5" customHeight="1">
      <c r="A85" s="279">
        <v>41</v>
      </c>
      <c r="B85" s="118">
        <f>IF(INDEX('参加者データ（要入力）'!$B$3:$O$102,41,2)="","",INDEX('参加者データ（要入力）'!$B$3:$O$102,41,2))</f>
      </c>
      <c r="C85" s="280">
        <f>IF(INDEX('参加者データ（要入力）'!$B$3:$O$102,41,3)="","",INDEX('参加者データ（要入力）'!$B$3:$O$102,41,3))</f>
      </c>
      <c r="D85" s="237">
        <f>IF(INDEX('参加者データ（要入力）'!$B$3:$O$102,41,4)="","",INDEX('参加者データ（要入力）'!$B$3:$O$102,41,4))</f>
      </c>
      <c r="E85" s="121">
        <f>IF(INDEX('参加者データ（要入力）'!$B$3:$O$102,41,5)="","",INDEX('参加者データ（要入力）'!$B$3:$O$102,41,5))</f>
      </c>
      <c r="F85" s="274">
        <f>IF(INDEX('参加者データ（要入力）'!$B$3:$O$102,41,9)="","",INDEX('参加者データ（要入力）'!$B$3:$O$102,41,9))</f>
      </c>
      <c r="G85" s="126"/>
      <c r="H85" s="131"/>
      <c r="I85" s="96">
        <f>IF(INDEX('参加者データ（要入力）'!$B$3:$O$102,41,11)="","",INDEX('参加者データ（要入力）'!$B$3:$O$102,41,11))</f>
      </c>
      <c r="J85" s="86" t="s">
        <v>96</v>
      </c>
      <c r="K85" s="97">
        <f>IF(INDEX('参加者データ（要入力）'!$B$3:$O$102,41,6)="","",INDEX('参加者データ（要入力）'!$B$3:$O$102,41,6))</f>
      </c>
      <c r="L85" s="87" t="s">
        <v>97</v>
      </c>
      <c r="M85" s="98">
        <f>IF(INDEX('参加者データ（要入力）'!$B$3:$O$102,41,8)="","",INDEX('参加者データ（要入力）'!$B$3:$O$102,41,8))</f>
      </c>
      <c r="N85" s="95">
        <f>IF(INDEX('参加者データ（要入力）'!$B$3:$O$102,41,12)="","",INDEX('参加者データ（要入力）'!$B$3:$O$102,41,12))</f>
      </c>
      <c r="O85" s="283">
        <f>IF(INDEX('参加者データ（要入力）'!$B$3:$P$102,41,14)="","",INDEX('参加者データ（要入力）'!$B$3:$P$102,41,14))</f>
      </c>
      <c r="P85" s="285">
        <f>IF(INDEX('参加者データ（要入力）'!$B$3:$P$102,41,15)="","",INDEX('参加者データ（要入力）'!$B$3:$P$102,41,15))</f>
      </c>
      <c r="Q85" s="286"/>
      <c r="R85" s="287"/>
    </row>
    <row r="86" spans="1:18" ht="31.5" customHeight="1">
      <c r="A86" s="279"/>
      <c r="B86" s="117">
        <f>IF(INDEX('参加者データ（要入力）'!$B$3:$O$102,41,1)="","",INDEX('参加者データ（要入力）'!$B$3:$O$102,41,1))</f>
      </c>
      <c r="C86" s="237"/>
      <c r="D86" s="237"/>
      <c r="E86" s="124">
        <f>IF(INDEX('参加者データ（要入力）'!$B$3:$O$102,41,5)="","",INDEX('参加者データ（要入力）'!$B$3:$O$102,41,5))</f>
      </c>
      <c r="F86" s="275"/>
      <c r="G86" s="127" t="s">
        <v>98</v>
      </c>
      <c r="H86" s="132">
        <f>IF(AND(C85="女",F85="A"),"尼","")</f>
      </c>
      <c r="I86" s="176">
        <f>IF(INDEX('参加者データ（要入力）'!$B$3:$O$102,41,10)="","",INDEX('参加者データ（要入力）'!$B$3:$O$102,41,10))</f>
      </c>
      <c r="J86" s="276">
        <f>IF(INDEX('参加者データ（要入力）'!$B$3:$O$102,41,7)="","",INDEX('参加者データ（要入力）'!$B$3:$O$102,41,7))</f>
      </c>
      <c r="K86" s="277" t="str">
        <f>INDEX('参加者データ（要入力）'!$B$2:$O$102,1,6)</f>
        <v>600-8308</v>
      </c>
      <c r="L86" s="277" t="str">
        <f>INDEX('参加者データ（要入力）'!$B$2:$O$102,1,6)</f>
        <v>600-8308</v>
      </c>
      <c r="M86" s="278" t="str">
        <f>INDEX('参加者データ（要入力）'!$B$2:$O$102,1,6)</f>
        <v>600-8308</v>
      </c>
      <c r="N86" s="99">
        <f>IF(INDEX('参加者データ（要入力）'!$B$3:$O$102,41,13)="","",INDEX('参加者データ（要入力）'!$B$3:$O$102,41,13))</f>
      </c>
      <c r="O86" s="284"/>
      <c r="P86" s="288"/>
      <c r="Q86" s="289"/>
      <c r="R86" s="290"/>
    </row>
    <row r="87" spans="1:18" ht="19.5" customHeight="1">
      <c r="A87" s="279">
        <v>42</v>
      </c>
      <c r="B87" s="118">
        <f>IF(INDEX('参加者データ（要入力）'!$B$3:$O$102,42,2)="","",INDEX('参加者データ（要入力）'!$B$3:$O$102,42,2))</f>
      </c>
      <c r="C87" s="280">
        <f>IF(INDEX('参加者データ（要入力）'!$B$3:$O$102,42,3)="","",INDEX('参加者データ（要入力）'!$B$3:$O$102,42,3))</f>
      </c>
      <c r="D87" s="280">
        <f>IF(INDEX('参加者データ（要入力）'!$B$3:$O$102,42,4)="","",INDEX('参加者データ（要入力）'!$B$3:$O$102,42,4))</f>
      </c>
      <c r="E87" s="121">
        <f>IF(INDEX('参加者データ（要入力）'!$B$3:$O$102,42,5)="","",INDEX('参加者データ（要入力）'!$B$3:$O$102,42,5))</f>
      </c>
      <c r="F87" s="274">
        <f>IF(INDEX('参加者データ（要入力）'!$B$3:$O$102,42,9)="","",INDEX('参加者データ（要入力）'!$B$3:$O$102,42,9))</f>
      </c>
      <c r="G87" s="126"/>
      <c r="H87" s="131"/>
      <c r="I87" s="96">
        <f>IF(INDEX('参加者データ（要入力）'!$B$3:$O$102,42,11)="","",INDEX('参加者データ（要入力）'!$B$3:$O$102,42,11))</f>
      </c>
      <c r="J87" s="86" t="s">
        <v>96</v>
      </c>
      <c r="K87" s="97">
        <f>IF(INDEX('参加者データ（要入力）'!$B$3:$O$102,42,6)="","",INDEX('参加者データ（要入力）'!$B$3:$O$102,42,6))</f>
      </c>
      <c r="L87" s="87" t="s">
        <v>97</v>
      </c>
      <c r="M87" s="98">
        <f>IF(INDEX('参加者データ（要入力）'!$B$3:$O$102,42,8)="","",INDEX('参加者データ（要入力）'!$B$3:$O$102,42,8))</f>
      </c>
      <c r="N87" s="95">
        <f>IF(INDEX('参加者データ（要入力）'!$B$3:$O$102,42,12)="","",INDEX('参加者データ（要入力）'!$B$3:$O$102,42,12))</f>
      </c>
      <c r="O87" s="283">
        <f>IF(INDEX('参加者データ（要入力）'!$B$3:$P$102,42,14)="","",INDEX('参加者データ（要入力）'!$B$3:$P$102,42,14))</f>
      </c>
      <c r="P87" s="285">
        <f>IF(INDEX('参加者データ（要入力）'!$B$3:$P$102,42,15)="","",INDEX('参加者データ（要入力）'!$B$3:$P$102,42,15))</f>
      </c>
      <c r="Q87" s="286"/>
      <c r="R87" s="287"/>
    </row>
    <row r="88" spans="1:18" ht="31.5" customHeight="1">
      <c r="A88" s="279"/>
      <c r="B88" s="117">
        <f>IF(INDEX('参加者データ（要入力）'!$B$3:$O$102,42,1)="","",INDEX('参加者データ（要入力）'!$B$3:$O$102,42,1))</f>
      </c>
      <c r="C88" s="237"/>
      <c r="D88" s="237"/>
      <c r="E88" s="124">
        <f>IF(INDEX('参加者データ（要入力）'!$B$3:$O$102,42,5)="","",INDEX('参加者データ（要入力）'!$B$3:$O$102,42,5))</f>
      </c>
      <c r="F88" s="275"/>
      <c r="G88" s="127" t="s">
        <v>98</v>
      </c>
      <c r="H88" s="132">
        <f>IF(AND(C87="女",F87="A"),"尼","")</f>
      </c>
      <c r="I88" s="176">
        <f>IF(INDEX('参加者データ（要入力）'!$B$3:$O$102,42,10)="","",INDEX('参加者データ（要入力）'!$B$3:$O$102,42,10))</f>
      </c>
      <c r="J88" s="276">
        <f>IF(INDEX('参加者データ（要入力）'!$B$3:$O$102,42,7)="","",INDEX('参加者データ（要入力）'!$B$3:$O$102,42,7))</f>
      </c>
      <c r="K88" s="277" t="str">
        <f>INDEX('参加者データ（要入力）'!$B$2:$O$102,1,6)</f>
        <v>600-8308</v>
      </c>
      <c r="L88" s="277" t="str">
        <f>INDEX('参加者データ（要入力）'!$B$2:$O$102,1,6)</f>
        <v>600-8308</v>
      </c>
      <c r="M88" s="278" t="str">
        <f>INDEX('参加者データ（要入力）'!$B$2:$O$102,1,6)</f>
        <v>600-8308</v>
      </c>
      <c r="N88" s="99">
        <f>IF(INDEX('参加者データ（要入力）'!$B$3:$O$102,42,13)="","",INDEX('参加者データ（要入力）'!$B$3:$O$102,42,13))</f>
      </c>
      <c r="O88" s="284"/>
      <c r="P88" s="288"/>
      <c r="Q88" s="289"/>
      <c r="R88" s="290"/>
    </row>
    <row r="89" spans="1:18" ht="19.5" customHeight="1">
      <c r="A89" s="279">
        <v>43</v>
      </c>
      <c r="B89" s="118">
        <f>IF(INDEX('参加者データ（要入力）'!$B$3:$O$102,43,2)="","",INDEX('参加者データ（要入力）'!$B$3:$O$102,43,2))</f>
      </c>
      <c r="C89" s="280">
        <f>IF(INDEX('参加者データ（要入力）'!$B$3:$O$102,43,3)="","",INDEX('参加者データ（要入力）'!$B$3:$O$102,43,3))</f>
      </c>
      <c r="D89" s="237">
        <f>IF(INDEX('参加者データ（要入力）'!$B$3:$O$102,43,4)="","",INDEX('参加者データ（要入力）'!$B$3:$O$102,43,4))</f>
      </c>
      <c r="E89" s="121">
        <f>IF(INDEX('参加者データ（要入力）'!$B$3:$O$102,43,5)="","",INDEX('参加者データ（要入力）'!$B$3:$O$102,43,5))</f>
      </c>
      <c r="F89" s="274">
        <f>IF(INDEX('参加者データ（要入力）'!$B$3:$O$102,43,9)="","",INDEX('参加者データ（要入力）'!$B$3:$O$102,43,9))</f>
      </c>
      <c r="G89" s="126"/>
      <c r="H89" s="131"/>
      <c r="I89" s="96">
        <f>IF(INDEX('参加者データ（要入力）'!$B$3:$O$102,43,11)="","",INDEX('参加者データ（要入力）'!$B$3:$O$102,43,11))</f>
      </c>
      <c r="J89" s="86" t="s">
        <v>96</v>
      </c>
      <c r="K89" s="97">
        <f>IF(INDEX('参加者データ（要入力）'!$B$3:$O$102,43,6)="","",INDEX('参加者データ（要入力）'!$B$3:$O$102,43,6))</f>
      </c>
      <c r="L89" s="87" t="s">
        <v>97</v>
      </c>
      <c r="M89" s="98">
        <f>IF(INDEX('参加者データ（要入力）'!$B$3:$O$102,43,8)="","",INDEX('参加者データ（要入力）'!$B$3:$O$102,43,8))</f>
      </c>
      <c r="N89" s="95">
        <f>IF(INDEX('参加者データ（要入力）'!$B$3:$O$102,43,12)="","",INDEX('参加者データ（要入力）'!$B$3:$O$102,43,12))</f>
      </c>
      <c r="O89" s="283">
        <f>IF(INDEX('参加者データ（要入力）'!$B$3:$P$102,43,14)="","",INDEX('参加者データ（要入力）'!$B$3:$P$102,43,14))</f>
      </c>
      <c r="P89" s="285">
        <f>IF(INDEX('参加者データ（要入力）'!$B$3:$P$102,43,15)="","",INDEX('参加者データ（要入力）'!$B$3:$P$102,43,15))</f>
      </c>
      <c r="Q89" s="286"/>
      <c r="R89" s="287"/>
    </row>
    <row r="90" spans="1:18" ht="31.5" customHeight="1">
      <c r="A90" s="279"/>
      <c r="B90" s="117">
        <f>IF(INDEX('参加者データ（要入力）'!$B$3:$O$102,43,1)="","",INDEX('参加者データ（要入力）'!$B$3:$O$102,43,1))</f>
      </c>
      <c r="C90" s="237"/>
      <c r="D90" s="237"/>
      <c r="E90" s="124">
        <f>IF(INDEX('参加者データ（要入力）'!$B$3:$O$102,43,5)="","",INDEX('参加者データ（要入力）'!$B$3:$O$102,43,5))</f>
      </c>
      <c r="F90" s="275"/>
      <c r="G90" s="127" t="s">
        <v>98</v>
      </c>
      <c r="H90" s="132">
        <f>IF(AND(C89="女",F89="A"),"尼","")</f>
      </c>
      <c r="I90" s="176">
        <f>IF(INDEX('参加者データ（要入力）'!$B$3:$O$102,43,10)="","",INDEX('参加者データ（要入力）'!$B$3:$O$102,43,10))</f>
      </c>
      <c r="J90" s="276">
        <f>IF(INDEX('参加者データ（要入力）'!$B$3:$O$102,43,7)="","",INDEX('参加者データ（要入力）'!$B$3:$O$102,43,7))</f>
      </c>
      <c r="K90" s="277" t="str">
        <f>INDEX('参加者データ（要入力）'!$B$2:$O$102,1,6)</f>
        <v>600-8308</v>
      </c>
      <c r="L90" s="277" t="str">
        <f>INDEX('参加者データ（要入力）'!$B$2:$O$102,1,6)</f>
        <v>600-8308</v>
      </c>
      <c r="M90" s="278" t="str">
        <f>INDEX('参加者データ（要入力）'!$B$2:$O$102,1,6)</f>
        <v>600-8308</v>
      </c>
      <c r="N90" s="99">
        <f>IF(INDEX('参加者データ（要入力）'!$B$3:$O$102,43,13)="","",INDEX('参加者データ（要入力）'!$B$3:$O$102,43,13))</f>
      </c>
      <c r="O90" s="284"/>
      <c r="P90" s="288"/>
      <c r="Q90" s="289"/>
      <c r="R90" s="290"/>
    </row>
    <row r="91" spans="1:18" ht="19.5" customHeight="1">
      <c r="A91" s="279">
        <v>44</v>
      </c>
      <c r="B91" s="118">
        <f>IF(INDEX('参加者データ（要入力）'!$B$3:$O$102,44,2)="","",INDEX('参加者データ（要入力）'!$B$3:$O$102,44,2))</f>
      </c>
      <c r="C91" s="280">
        <f>IF(INDEX('参加者データ（要入力）'!$B$3:$O$102,44,3)="","",INDEX('参加者データ（要入力）'!$B$3:$O$102,44,3))</f>
      </c>
      <c r="D91" s="280">
        <f>IF(INDEX('参加者データ（要入力）'!$B$3:$O$102,44,4)="","",INDEX('参加者データ（要入力）'!$B$3:$O$102,44,4))</f>
      </c>
      <c r="E91" s="121">
        <f>IF(INDEX('参加者データ（要入力）'!$B$3:$O$102,44,5)="","",INDEX('参加者データ（要入力）'!$B$3:$O$102,44,5))</f>
      </c>
      <c r="F91" s="274">
        <f>IF(INDEX('参加者データ（要入力）'!$B$3:$O$102,44,9)="","",INDEX('参加者データ（要入力）'!$B$3:$O$102,44,9))</f>
      </c>
      <c r="G91" s="126"/>
      <c r="H91" s="131"/>
      <c r="I91" s="96">
        <f>IF(INDEX('参加者データ（要入力）'!$B$3:$O$102,44,11)="","",INDEX('参加者データ（要入力）'!$B$3:$O$102,44,11))</f>
      </c>
      <c r="J91" s="86" t="s">
        <v>96</v>
      </c>
      <c r="K91" s="97">
        <f>IF(INDEX('参加者データ（要入力）'!$B$3:$O$102,44,6)="","",INDEX('参加者データ（要入力）'!$B$3:$O$102,44,6))</f>
      </c>
      <c r="L91" s="87" t="s">
        <v>97</v>
      </c>
      <c r="M91" s="98">
        <f>IF(INDEX('参加者データ（要入力）'!$B$3:$O$102,44,8)="","",INDEX('参加者データ（要入力）'!$B$3:$O$102,44,8))</f>
      </c>
      <c r="N91" s="95">
        <f>IF(INDEX('参加者データ（要入力）'!$B$3:$O$102,44,12)="","",INDEX('参加者データ（要入力）'!$B$3:$O$102,44,12))</f>
      </c>
      <c r="O91" s="283">
        <f>IF(INDEX('参加者データ（要入力）'!$B$3:$P$102,44,14)="","",INDEX('参加者データ（要入力）'!$B$3:$P$102,44,14))</f>
      </c>
      <c r="P91" s="285">
        <f>IF(INDEX('参加者データ（要入力）'!$B$3:$P$102,44,15)="","",INDEX('参加者データ（要入力）'!$B$3:$P$102,44,15))</f>
      </c>
      <c r="Q91" s="286"/>
      <c r="R91" s="287"/>
    </row>
    <row r="92" spans="1:18" ht="31.5" customHeight="1">
      <c r="A92" s="279"/>
      <c r="B92" s="117">
        <f>IF(INDEX('参加者データ（要入力）'!$B$3:$O$102,44,1)="","",INDEX('参加者データ（要入力）'!$B$3:$O$102,44,1))</f>
      </c>
      <c r="C92" s="237"/>
      <c r="D92" s="237"/>
      <c r="E92" s="124">
        <f>IF(INDEX('参加者データ（要入力）'!$B$3:$O$102,44,5)="","",INDEX('参加者データ（要入力）'!$B$3:$O$102,44,5))</f>
      </c>
      <c r="F92" s="275"/>
      <c r="G92" s="127" t="s">
        <v>98</v>
      </c>
      <c r="H92" s="132">
        <f>IF(AND(C91="女",F91="A"),"尼","")</f>
      </c>
      <c r="I92" s="176">
        <f>IF(INDEX('参加者データ（要入力）'!$B$3:$O$102,44,10)="","",INDEX('参加者データ（要入力）'!$B$3:$O$102,44,10))</f>
      </c>
      <c r="J92" s="276">
        <f>IF(INDEX('参加者データ（要入力）'!$B$3:$O$102,44,7)="","",INDEX('参加者データ（要入力）'!$B$3:$O$102,44,7))</f>
      </c>
      <c r="K92" s="277" t="str">
        <f>INDEX('参加者データ（要入力）'!$B$2:$O$102,1,6)</f>
        <v>600-8308</v>
      </c>
      <c r="L92" s="277" t="str">
        <f>INDEX('参加者データ（要入力）'!$B$2:$O$102,1,6)</f>
        <v>600-8308</v>
      </c>
      <c r="M92" s="278" t="str">
        <f>INDEX('参加者データ（要入力）'!$B$2:$O$102,1,6)</f>
        <v>600-8308</v>
      </c>
      <c r="N92" s="99">
        <f>IF(INDEX('参加者データ（要入力）'!$B$3:$O$102,44,13)="","",INDEX('参加者データ（要入力）'!$B$3:$O$102,44,13))</f>
      </c>
      <c r="O92" s="284"/>
      <c r="P92" s="288"/>
      <c r="Q92" s="289"/>
      <c r="R92" s="290"/>
    </row>
    <row r="93" spans="1:18" ht="19.5" customHeight="1">
      <c r="A93" s="279">
        <v>45</v>
      </c>
      <c r="B93" s="118">
        <f>IF(INDEX('参加者データ（要入力）'!$B$3:$O$102,45,2)="","",INDEX('参加者データ（要入力）'!$B$3:$O$102,45,2))</f>
      </c>
      <c r="C93" s="280">
        <f>IF(INDEX('参加者データ（要入力）'!$B$3:$O$102,45,3)="","",INDEX('参加者データ（要入力）'!$B$3:$O$102,45,3))</f>
      </c>
      <c r="D93" s="237">
        <f>IF(INDEX('参加者データ（要入力）'!$B$3:$O$102,45,4)="","",INDEX('参加者データ（要入力）'!$B$3:$O$102,45,4))</f>
      </c>
      <c r="E93" s="121">
        <f>IF(INDEX('参加者データ（要入力）'!$B$3:$O$102,45,5)="","",INDEX('参加者データ（要入力）'!$B$3:$O$102,45,5))</f>
      </c>
      <c r="F93" s="274">
        <f>IF(INDEX('参加者データ（要入力）'!$B$3:$O$102,45,9)="","",INDEX('参加者データ（要入力）'!$B$3:$O$102,45,9))</f>
      </c>
      <c r="G93" s="126"/>
      <c r="H93" s="131"/>
      <c r="I93" s="96">
        <f>IF(INDEX('参加者データ（要入力）'!$B$3:$O$102,45,11)="","",INDEX('参加者データ（要入力）'!$B$3:$O$102,45,11))</f>
      </c>
      <c r="J93" s="86" t="s">
        <v>96</v>
      </c>
      <c r="K93" s="97">
        <f>IF(INDEX('参加者データ（要入力）'!$B$3:$O$102,45,6)="","",INDEX('参加者データ（要入力）'!$B$3:$O$102,45,6))</f>
      </c>
      <c r="L93" s="87" t="s">
        <v>97</v>
      </c>
      <c r="M93" s="98">
        <f>IF(INDEX('参加者データ（要入力）'!$B$3:$O$102,45,8)="","",INDEX('参加者データ（要入力）'!$B$3:$O$102,45,8))</f>
      </c>
      <c r="N93" s="95">
        <f>IF(INDEX('参加者データ（要入力）'!$B$3:$O$102,45,12)="","",INDEX('参加者データ（要入力）'!$B$3:$O$102,45,12))</f>
      </c>
      <c r="O93" s="283">
        <f>IF(INDEX('参加者データ（要入力）'!$B$3:$P$102,45,14)="","",INDEX('参加者データ（要入力）'!$B$3:$P$102,45,14))</f>
      </c>
      <c r="P93" s="285">
        <f>IF(INDEX('参加者データ（要入力）'!$B$3:$P$102,45,15)="","",INDEX('参加者データ（要入力）'!$B$3:$P$102,45,15))</f>
      </c>
      <c r="Q93" s="286"/>
      <c r="R93" s="287"/>
    </row>
    <row r="94" spans="1:18" ht="31.5" customHeight="1">
      <c r="A94" s="279"/>
      <c r="B94" s="117">
        <f>IF(INDEX('参加者データ（要入力）'!$B$3:$O$102,45,1)="","",INDEX('参加者データ（要入力）'!$B$3:$O$102,45,1))</f>
      </c>
      <c r="C94" s="237"/>
      <c r="D94" s="237"/>
      <c r="E94" s="122">
        <f>IF(INDEX('参加者データ（要入力）'!$B$3:$O$102,45,5)="","",INDEX('参加者データ（要入力）'!$B$3:$O$102,45,5))</f>
      </c>
      <c r="F94" s="275"/>
      <c r="G94" s="127" t="s">
        <v>98</v>
      </c>
      <c r="H94" s="132">
        <f>IF(AND(C93="女",F93="A"),"尼","")</f>
      </c>
      <c r="I94" s="176">
        <f>IF(INDEX('参加者データ（要入力）'!$B$3:$O$102,45,10)="","",INDEX('参加者データ（要入力）'!$B$3:$O$102,45,10))</f>
      </c>
      <c r="J94" s="276">
        <f>IF(INDEX('参加者データ（要入力）'!$B$3:$O$102,45,7)="","",INDEX('参加者データ（要入力）'!$B$3:$O$102,45,7))</f>
      </c>
      <c r="K94" s="277" t="str">
        <f>INDEX('参加者データ（要入力）'!$B$2:$O$102,1,6)</f>
        <v>600-8308</v>
      </c>
      <c r="L94" s="277" t="str">
        <f>INDEX('参加者データ（要入力）'!$B$2:$O$102,1,6)</f>
        <v>600-8308</v>
      </c>
      <c r="M94" s="278" t="str">
        <f>INDEX('参加者データ（要入力）'!$B$2:$O$102,1,6)</f>
        <v>600-8308</v>
      </c>
      <c r="N94" s="99">
        <f>IF(INDEX('参加者データ（要入力）'!$B$3:$O$102,45,13)="","",INDEX('参加者データ（要入力）'!$B$3:$O$102,45,13))</f>
      </c>
      <c r="O94" s="284"/>
      <c r="P94" s="288"/>
      <c r="Q94" s="289"/>
      <c r="R94" s="290"/>
    </row>
    <row r="95" spans="1:18" ht="19.5" customHeight="1">
      <c r="A95" s="279">
        <v>46</v>
      </c>
      <c r="B95" s="118">
        <f>IF(INDEX('参加者データ（要入力）'!$B$3:$O$102,46,2)="","",INDEX('参加者データ（要入力）'!$B$3:$O$102,46,2))</f>
      </c>
      <c r="C95" s="280">
        <f>IF(INDEX('参加者データ（要入力）'!$B$3:$O$102,46,3)="","",INDEX('参加者データ（要入力）'!$B$3:$O$102,46,3))</f>
      </c>
      <c r="D95" s="280">
        <f>IF(INDEX('参加者データ（要入力）'!$B$3:$O$102,46,4)="","",INDEX('参加者データ（要入力）'!$B$3:$O$102,46,4))</f>
      </c>
      <c r="E95" s="121">
        <f>IF(INDEX('参加者データ（要入力）'!$B$3:$O$102,46,5)="","",INDEX('参加者データ（要入力）'!$B$3:$O$102,46,5))</f>
      </c>
      <c r="F95" s="274">
        <f>IF(INDEX('参加者データ（要入力）'!$B$3:$O$102,46,9)="","",INDEX('参加者データ（要入力）'!$B$3:$O$102,46,9))</f>
      </c>
      <c r="G95" s="126"/>
      <c r="H95" s="131"/>
      <c r="I95" s="96">
        <f>IF(INDEX('参加者データ（要入力）'!$B$3:$O$102,46,11)="","",INDEX('参加者データ（要入力）'!$B$3:$O$102,46,11))</f>
      </c>
      <c r="J95" s="86" t="s">
        <v>96</v>
      </c>
      <c r="K95" s="97">
        <f>IF(INDEX('参加者データ（要入力）'!$B$3:$O$102,46,6)="","",INDEX('参加者データ（要入力）'!$B$3:$O$102,46,6))</f>
      </c>
      <c r="L95" s="87" t="s">
        <v>97</v>
      </c>
      <c r="M95" s="98">
        <f>IF(INDEX('参加者データ（要入力）'!$B$3:$O$102,46,8)="","",INDEX('参加者データ（要入力）'!$B$3:$O$102,46,8))</f>
      </c>
      <c r="N95" s="95">
        <f>IF(INDEX('参加者データ（要入力）'!$B$3:$O$102,46,12)="","",INDEX('参加者データ（要入力）'!$B$3:$O$102,46,12))</f>
      </c>
      <c r="O95" s="283">
        <f>IF(INDEX('参加者データ（要入力）'!$B$3:$P$102,46,14)="","",INDEX('参加者データ（要入力）'!$B$3:$P$102,46,14))</f>
      </c>
      <c r="P95" s="285">
        <f>IF(INDEX('参加者データ（要入力）'!$B$3:$P$102,46,15)="","",INDEX('参加者データ（要入力）'!$B$3:$P$102,46,15))</f>
      </c>
      <c r="Q95" s="286"/>
      <c r="R95" s="287"/>
    </row>
    <row r="96" spans="1:18" ht="31.5" customHeight="1">
      <c r="A96" s="279"/>
      <c r="B96" s="117">
        <f>IF(INDEX('参加者データ（要入力）'!$B$3:$O$102,46,1)="","",INDEX('参加者データ（要入力）'!$B$3:$O$102,46,1))</f>
      </c>
      <c r="C96" s="237"/>
      <c r="D96" s="237"/>
      <c r="E96" s="124">
        <f>IF(INDEX('参加者データ（要入力）'!$B$3:$O$102,46,5)="","",INDEX('参加者データ（要入力）'!$B$3:$O$102,46,5))</f>
      </c>
      <c r="F96" s="275"/>
      <c r="G96" s="127" t="s">
        <v>98</v>
      </c>
      <c r="H96" s="132">
        <f>IF(AND(C95="女",F95="A"),"尼","")</f>
      </c>
      <c r="I96" s="176">
        <f>IF(INDEX('参加者データ（要入力）'!$B$3:$O$102,46,10)="","",INDEX('参加者データ（要入力）'!$B$3:$O$102,46,10))</f>
      </c>
      <c r="J96" s="276">
        <f>IF(INDEX('参加者データ（要入力）'!$B$3:$O$102,46,7)="","",INDEX('参加者データ（要入力）'!$B$3:$O$102,46,7))</f>
      </c>
      <c r="K96" s="277" t="str">
        <f>INDEX('参加者データ（要入力）'!$B$2:$O$102,1,6)</f>
        <v>600-8308</v>
      </c>
      <c r="L96" s="277" t="str">
        <f>INDEX('参加者データ（要入力）'!$B$2:$O$102,1,6)</f>
        <v>600-8308</v>
      </c>
      <c r="M96" s="278" t="str">
        <f>INDEX('参加者データ（要入力）'!$B$2:$O$102,1,6)</f>
        <v>600-8308</v>
      </c>
      <c r="N96" s="99">
        <f>IF(INDEX('参加者データ（要入力）'!$B$3:$O$102,46,13)="","",INDEX('参加者データ（要入力）'!$B$3:$O$102,46,13))</f>
      </c>
      <c r="O96" s="284"/>
      <c r="P96" s="288"/>
      <c r="Q96" s="289"/>
      <c r="R96" s="290"/>
    </row>
    <row r="97" spans="1:18" ht="19.5" customHeight="1">
      <c r="A97" s="279">
        <v>47</v>
      </c>
      <c r="B97" s="118">
        <f>IF(INDEX('参加者データ（要入力）'!$B$3:$O$102,47,2)="","",INDEX('参加者データ（要入力）'!$B$3:$O$102,47,2))</f>
      </c>
      <c r="C97" s="280">
        <f>IF(INDEX('参加者データ（要入力）'!$B$3:$O$102,47,3)="","",INDEX('参加者データ（要入力）'!$B$3:$O$102,47,3))</f>
      </c>
      <c r="D97" s="237">
        <f>IF(INDEX('参加者データ（要入力）'!$B$3:$O$102,47,4)="","",INDEX('参加者データ（要入力）'!$B$3:$O$102,47,4))</f>
      </c>
      <c r="E97" s="121">
        <f>IF(INDEX('参加者データ（要入力）'!$B$3:$O$102,47,5)="","",INDEX('参加者データ（要入力）'!$B$3:$O$102,47,5))</f>
      </c>
      <c r="F97" s="274">
        <f>IF(INDEX('参加者データ（要入力）'!$B$3:$O$102,47,9)="","",INDEX('参加者データ（要入力）'!$B$3:$O$102,47,9))</f>
      </c>
      <c r="G97" s="126"/>
      <c r="H97" s="131"/>
      <c r="I97" s="96">
        <f>IF(INDEX('参加者データ（要入力）'!$B$3:$O$102,47,11)="","",INDEX('参加者データ（要入力）'!$B$3:$O$102,47,11))</f>
      </c>
      <c r="J97" s="86" t="s">
        <v>96</v>
      </c>
      <c r="K97" s="97">
        <f>IF(INDEX('参加者データ（要入力）'!$B$3:$O$102,47,6)="","",INDEX('参加者データ（要入力）'!$B$3:$O$102,47,6))</f>
      </c>
      <c r="L97" s="87" t="s">
        <v>97</v>
      </c>
      <c r="M97" s="98">
        <f>IF(INDEX('参加者データ（要入力）'!$B$3:$O$102,47,8)="","",INDEX('参加者データ（要入力）'!$B$3:$O$102,47,8))</f>
      </c>
      <c r="N97" s="95">
        <f>IF(INDEX('参加者データ（要入力）'!$B$3:$O$102,47,12)="","",INDEX('参加者データ（要入力）'!$B$3:$O$102,47,12))</f>
      </c>
      <c r="O97" s="283">
        <f>IF(INDEX('参加者データ（要入力）'!$B$3:$P$102,47,14)="","",INDEX('参加者データ（要入力）'!$B$3:$P$102,47,14))</f>
      </c>
      <c r="P97" s="285">
        <f>IF(INDEX('参加者データ（要入力）'!$B$3:$P$102,47,15)="","",INDEX('参加者データ（要入力）'!$B$3:$P$102,47,15))</f>
      </c>
      <c r="Q97" s="286"/>
      <c r="R97" s="287"/>
    </row>
    <row r="98" spans="1:18" ht="31.5" customHeight="1">
      <c r="A98" s="279"/>
      <c r="B98" s="117">
        <f>IF(INDEX('参加者データ（要入力）'!$B$3:$O$102,47,1)="","",INDEX('参加者データ（要入力）'!$B$3:$O$102,47,1))</f>
      </c>
      <c r="C98" s="237"/>
      <c r="D98" s="237"/>
      <c r="E98" s="124">
        <f>IF(INDEX('参加者データ（要入力）'!$B$3:$O$102,47,5)="","",INDEX('参加者データ（要入力）'!$B$3:$O$102,47,5))</f>
      </c>
      <c r="F98" s="275"/>
      <c r="G98" s="127" t="s">
        <v>98</v>
      </c>
      <c r="H98" s="132">
        <f>IF(AND(C97="女",F97="A"),"尼","")</f>
      </c>
      <c r="I98" s="176">
        <f>IF(INDEX('参加者データ（要入力）'!$B$3:$O$102,47,10)="","",INDEX('参加者データ（要入力）'!$B$3:$O$102,47,10))</f>
      </c>
      <c r="J98" s="276">
        <f>IF(INDEX('参加者データ（要入力）'!$B$3:$O$102,47,7)="","",INDEX('参加者データ（要入力）'!$B$3:$O$102,47,7))</f>
      </c>
      <c r="K98" s="277" t="str">
        <f>INDEX('参加者データ（要入力）'!$B$2:$O$102,1,6)</f>
        <v>600-8308</v>
      </c>
      <c r="L98" s="277" t="str">
        <f>INDEX('参加者データ（要入力）'!$B$2:$O$102,1,6)</f>
        <v>600-8308</v>
      </c>
      <c r="M98" s="278" t="str">
        <f>INDEX('参加者データ（要入力）'!$B$2:$O$102,1,6)</f>
        <v>600-8308</v>
      </c>
      <c r="N98" s="99">
        <f>IF(INDEX('参加者データ（要入力）'!$B$3:$O$102,47,13)="","",INDEX('参加者データ（要入力）'!$B$3:$O$102,47,13))</f>
      </c>
      <c r="O98" s="284"/>
      <c r="P98" s="288"/>
      <c r="Q98" s="289"/>
      <c r="R98" s="290"/>
    </row>
    <row r="99" spans="1:18" ht="19.5" customHeight="1">
      <c r="A99" s="279">
        <v>48</v>
      </c>
      <c r="B99" s="118">
        <f>IF(INDEX('参加者データ（要入力）'!$B$3:$O$102,48,2)="","",INDEX('参加者データ（要入力）'!$B$3:$O$102,48,2))</f>
      </c>
      <c r="C99" s="280">
        <f>IF(INDEX('参加者データ（要入力）'!$B$3:$O$102,48,3)="","",INDEX('参加者データ（要入力）'!$B$3:$O$102,48,3))</f>
      </c>
      <c r="D99" s="280">
        <f>IF(INDEX('参加者データ（要入力）'!$B$3:$O$102,48,4)="","",INDEX('参加者データ（要入力）'!$B$3:$O$102,48,4))</f>
      </c>
      <c r="E99" s="121">
        <f>IF(INDEX('参加者データ（要入力）'!$B$3:$O$102,48,5)="","",INDEX('参加者データ（要入力）'!$B$3:$O$102,48,5))</f>
      </c>
      <c r="F99" s="274">
        <f>IF(INDEX('参加者データ（要入力）'!$B$3:$O$102,48,9)="","",INDEX('参加者データ（要入力）'!$B$3:$O$102,48,9))</f>
      </c>
      <c r="G99" s="126"/>
      <c r="H99" s="131"/>
      <c r="I99" s="96">
        <f>IF(INDEX('参加者データ（要入力）'!$B$3:$O$102,48,11)="","",INDEX('参加者データ（要入力）'!$B$3:$O$102,48,11))</f>
      </c>
      <c r="J99" s="86" t="s">
        <v>96</v>
      </c>
      <c r="K99" s="97">
        <f>IF(INDEX('参加者データ（要入力）'!$B$3:$O$102,48,6)="","",INDEX('参加者データ（要入力）'!$B$3:$O$102,48,6))</f>
      </c>
      <c r="L99" s="87" t="s">
        <v>97</v>
      </c>
      <c r="M99" s="98">
        <f>IF(INDEX('参加者データ（要入力）'!$B$3:$O$102,48,8)="","",INDEX('参加者データ（要入力）'!$B$3:$O$102,48,8))</f>
      </c>
      <c r="N99" s="95">
        <f>IF(INDEX('参加者データ（要入力）'!$B$3:$O$102,48,12)="","",INDEX('参加者データ（要入力）'!$B$3:$O$102,48,12))</f>
      </c>
      <c r="O99" s="283">
        <f>IF(INDEX('参加者データ（要入力）'!$B$3:$P$102,48,14)="","",INDEX('参加者データ（要入力）'!$B$3:$P$102,48,14))</f>
      </c>
      <c r="P99" s="285">
        <f>IF(INDEX('参加者データ（要入力）'!$B$3:$P$102,48,15)="","",INDEX('参加者データ（要入力）'!$B$3:$P$102,48,15))</f>
      </c>
      <c r="Q99" s="286"/>
      <c r="R99" s="287"/>
    </row>
    <row r="100" spans="1:18" ht="31.5" customHeight="1">
      <c r="A100" s="279"/>
      <c r="B100" s="117">
        <f>IF(INDEX('参加者データ（要入力）'!$B$3:$O$102,48,1)="","",INDEX('参加者データ（要入力）'!$B$3:$O$102,48,1))</f>
      </c>
      <c r="C100" s="237"/>
      <c r="D100" s="237"/>
      <c r="E100" s="124">
        <f>IF(INDEX('参加者データ（要入力）'!$B$3:$O$102,48,5)="","",INDEX('参加者データ（要入力）'!$B$3:$O$102,48,5))</f>
      </c>
      <c r="F100" s="275"/>
      <c r="G100" s="127" t="s">
        <v>98</v>
      </c>
      <c r="H100" s="132">
        <f>IF(AND(C99="女",F99="A"),"尼","")</f>
      </c>
      <c r="I100" s="176">
        <f>IF(INDEX('参加者データ（要入力）'!$B$3:$O$102,48,10)="","",INDEX('参加者データ（要入力）'!$B$3:$O$102,48,10))</f>
      </c>
      <c r="J100" s="276">
        <f>IF(INDEX('参加者データ（要入力）'!$B$3:$O$102,48,7)="","",INDEX('参加者データ（要入力）'!$B$3:$O$102,48,7))</f>
      </c>
      <c r="K100" s="277" t="str">
        <f>INDEX('参加者データ（要入力）'!$B$2:$O$102,1,6)</f>
        <v>600-8308</v>
      </c>
      <c r="L100" s="277" t="str">
        <f>INDEX('参加者データ（要入力）'!$B$2:$O$102,1,6)</f>
        <v>600-8308</v>
      </c>
      <c r="M100" s="278" t="str">
        <f>INDEX('参加者データ（要入力）'!$B$2:$O$102,1,6)</f>
        <v>600-8308</v>
      </c>
      <c r="N100" s="99">
        <f>IF(INDEX('参加者データ（要入力）'!$B$3:$O$102,48,13)="","",INDEX('参加者データ（要入力）'!$B$3:$O$102,48,13))</f>
      </c>
      <c r="O100" s="284"/>
      <c r="P100" s="288"/>
      <c r="Q100" s="289"/>
      <c r="R100" s="290"/>
    </row>
    <row r="101" spans="1:18" ht="19.5" customHeight="1">
      <c r="A101" s="279">
        <v>49</v>
      </c>
      <c r="B101" s="118">
        <f>IF(INDEX('参加者データ（要入力）'!$B$3:$O$102,49,2)="","",INDEX('参加者データ（要入力）'!$B$3:$O$102,49,2))</f>
      </c>
      <c r="C101" s="280">
        <f>IF(INDEX('参加者データ（要入力）'!$B$3:$O$102,49,3)="","",INDEX('参加者データ（要入力）'!$B$3:$O$102,49,3))</f>
      </c>
      <c r="D101" s="237">
        <f>IF(INDEX('参加者データ（要入力）'!$B$3:$O$102,49,4)="","",INDEX('参加者データ（要入力）'!$B$3:$O$102,49,4))</f>
      </c>
      <c r="E101" s="121">
        <f>IF(INDEX('参加者データ（要入力）'!$B$3:$O$102,49,5)="","",INDEX('参加者データ（要入力）'!$B$3:$O$102,49,5))</f>
      </c>
      <c r="F101" s="274">
        <f>IF(INDEX('参加者データ（要入力）'!$B$3:$O$102,49,9)="","",INDEX('参加者データ（要入力）'!$B$3:$O$102,49,9))</f>
      </c>
      <c r="G101" s="126"/>
      <c r="H101" s="131"/>
      <c r="I101" s="96">
        <f>IF(INDEX('参加者データ（要入力）'!$B$3:$O$102,49,11)="","",INDEX('参加者データ（要入力）'!$B$3:$O$102,49,11))</f>
      </c>
      <c r="J101" s="86" t="s">
        <v>96</v>
      </c>
      <c r="K101" s="97">
        <f>IF(INDEX('参加者データ（要入力）'!$B$3:$O$102,49,6)="","",INDEX('参加者データ（要入力）'!$B$3:$O$102,49,6))</f>
      </c>
      <c r="L101" s="87" t="s">
        <v>97</v>
      </c>
      <c r="M101" s="98">
        <f>IF(INDEX('参加者データ（要入力）'!$B$3:$O$102,49,8)="","",INDEX('参加者データ（要入力）'!$B$3:$O$102,49,8))</f>
      </c>
      <c r="N101" s="95">
        <f>IF(INDEX('参加者データ（要入力）'!$B$3:$O$102,49,12)="","",INDEX('参加者データ（要入力）'!$B$3:$O$102,49,12))</f>
      </c>
      <c r="O101" s="283">
        <f>IF(INDEX('参加者データ（要入力）'!$B$3:$P$102,49,14)="","",INDEX('参加者データ（要入力）'!$B$3:$P$102,49,14))</f>
      </c>
      <c r="P101" s="285">
        <f>IF(INDEX('参加者データ（要入力）'!$B$3:$P$102,49,15)="","",INDEX('参加者データ（要入力）'!$B$3:$P$102,49,15))</f>
      </c>
      <c r="Q101" s="286"/>
      <c r="R101" s="287"/>
    </row>
    <row r="102" spans="1:18" ht="31.5" customHeight="1">
      <c r="A102" s="279"/>
      <c r="B102" s="117">
        <f>IF(INDEX('参加者データ（要入力）'!$B$3:$O$102,49,1)="","",INDEX('参加者データ（要入力）'!$B$3:$O$102,49,1))</f>
      </c>
      <c r="C102" s="237"/>
      <c r="D102" s="237"/>
      <c r="E102" s="124">
        <f>IF(INDEX('参加者データ（要入力）'!$B$3:$O$102,49,5)="","",INDEX('参加者データ（要入力）'!$B$3:$O$102,49,5))</f>
      </c>
      <c r="F102" s="275"/>
      <c r="G102" s="127" t="s">
        <v>98</v>
      </c>
      <c r="H102" s="132">
        <f>IF(AND(C101="女",F101="A"),"尼","")</f>
      </c>
      <c r="I102" s="176">
        <f>IF(INDEX('参加者データ（要入力）'!$B$3:$O$102,49,10)="","",INDEX('参加者データ（要入力）'!$B$3:$O$102,49,10))</f>
      </c>
      <c r="J102" s="276">
        <f>IF(INDEX('参加者データ（要入力）'!$B$3:$O$102,49,7)="","",INDEX('参加者データ（要入力）'!$B$3:$O$102,49,7))</f>
      </c>
      <c r="K102" s="277" t="str">
        <f>INDEX('参加者データ（要入力）'!$B$2:$O$102,1,6)</f>
        <v>600-8308</v>
      </c>
      <c r="L102" s="277" t="str">
        <f>INDEX('参加者データ（要入力）'!$B$2:$O$102,1,6)</f>
        <v>600-8308</v>
      </c>
      <c r="M102" s="278" t="str">
        <f>INDEX('参加者データ（要入力）'!$B$2:$O$102,1,6)</f>
        <v>600-8308</v>
      </c>
      <c r="N102" s="99">
        <f>IF(INDEX('参加者データ（要入力）'!$B$3:$O$102,49,13)="","",INDEX('参加者データ（要入力）'!$B$3:$O$102,49,13))</f>
      </c>
      <c r="O102" s="284"/>
      <c r="P102" s="288"/>
      <c r="Q102" s="289"/>
      <c r="R102" s="290"/>
    </row>
    <row r="103" spans="1:18" ht="19.5" customHeight="1">
      <c r="A103" s="279">
        <v>50</v>
      </c>
      <c r="B103" s="118">
        <f>IF(INDEX('参加者データ（要入力）'!$B$3:$O$102,50,2)="","",INDEX('参加者データ（要入力）'!$B$3:$O$102,50,2))</f>
      </c>
      <c r="C103" s="280">
        <f>IF(INDEX('参加者データ（要入力）'!$B$3:$O$102,50,3)="","",INDEX('参加者データ（要入力）'!$B$3:$O$102,50,3))</f>
      </c>
      <c r="D103" s="280">
        <f>IF(INDEX('参加者データ（要入力）'!$B$3:$O$102,50,4)="","",INDEX('参加者データ（要入力）'!$B$3:$O$102,50,4))</f>
      </c>
      <c r="E103" s="121">
        <f>IF(INDEX('参加者データ（要入力）'!$B$3:$O$102,50,5)="","",INDEX('参加者データ（要入力）'!$B$3:$O$102,50,5))</f>
      </c>
      <c r="F103" s="274">
        <f>IF(INDEX('参加者データ（要入力）'!$B$3:$O$102,50,9)="","",INDEX('参加者データ（要入力）'!$B$3:$O$102,50,9))</f>
      </c>
      <c r="G103" s="126"/>
      <c r="H103" s="131"/>
      <c r="I103" s="96">
        <f>IF(INDEX('参加者データ（要入力）'!$B$3:$O$102,50,11)="","",INDEX('参加者データ（要入力）'!$B$3:$O$102,50,11))</f>
      </c>
      <c r="J103" s="86" t="s">
        <v>96</v>
      </c>
      <c r="K103" s="97">
        <f>IF(INDEX('参加者データ（要入力）'!$B$3:$O$102,50,6)="","",INDEX('参加者データ（要入力）'!$B$3:$O$102,50,6))</f>
      </c>
      <c r="L103" s="87" t="s">
        <v>97</v>
      </c>
      <c r="M103" s="98">
        <f>IF(INDEX('参加者データ（要入力）'!$B$3:$O$102,50,8)="","",INDEX('参加者データ（要入力）'!$B$3:$O$102,50,8))</f>
      </c>
      <c r="N103" s="95">
        <f>IF(INDEX('参加者データ（要入力）'!$B$3:$O$102,50,12)="","",INDEX('参加者データ（要入力）'!$B$3:$O$102,50,12))</f>
      </c>
      <c r="O103" s="283">
        <f>IF(INDEX('参加者データ（要入力）'!$B$3:$P$102,50,14)="","",INDEX('参加者データ（要入力）'!$B$3:$P$102,50,14))</f>
      </c>
      <c r="P103" s="285">
        <f>IF(INDEX('参加者データ（要入力）'!$B$3:$P$102,50,15)="","",INDEX('参加者データ（要入力）'!$B$3:$P$102,50,15))</f>
      </c>
      <c r="Q103" s="286"/>
      <c r="R103" s="287"/>
    </row>
    <row r="104" spans="1:18" ht="31.5" customHeight="1">
      <c r="A104" s="279"/>
      <c r="B104" s="117">
        <f>IF(INDEX('参加者データ（要入力）'!$B$3:$O$102,50,1)="","",INDEX('参加者データ（要入力）'!$B$3:$O$102,50,1))</f>
      </c>
      <c r="C104" s="237"/>
      <c r="D104" s="237"/>
      <c r="E104" s="124">
        <f>IF(INDEX('参加者データ（要入力）'!$B$3:$O$102,50,5)="","",INDEX('参加者データ（要入力）'!$B$3:$O$102,50,5))</f>
      </c>
      <c r="F104" s="275"/>
      <c r="G104" s="127" t="s">
        <v>98</v>
      </c>
      <c r="H104" s="132">
        <f>IF(AND(C103="女",F103="A"),"尼","")</f>
      </c>
      <c r="I104" s="176">
        <f>IF(INDEX('参加者データ（要入力）'!$B$3:$O$102,50,10)="","",INDEX('参加者データ（要入力）'!$B$3:$O$102,50,10))</f>
      </c>
      <c r="J104" s="276">
        <f>IF(INDEX('参加者データ（要入力）'!$B$3:$O$102,50,7)="","",INDEX('参加者データ（要入力）'!$B$3:$O$102,50,7))</f>
      </c>
      <c r="K104" s="277" t="str">
        <f>INDEX('参加者データ（要入力）'!$B$2:$O$102,1,6)</f>
        <v>600-8308</v>
      </c>
      <c r="L104" s="277" t="str">
        <f>INDEX('参加者データ（要入力）'!$B$2:$O$102,1,6)</f>
        <v>600-8308</v>
      </c>
      <c r="M104" s="278" t="str">
        <f>INDEX('参加者データ（要入力）'!$B$2:$O$102,1,6)</f>
        <v>600-8308</v>
      </c>
      <c r="N104" s="99">
        <f>IF(INDEX('参加者データ（要入力）'!$B$3:$O$102,50,13)="","",INDEX('参加者データ（要入力）'!$B$3:$O$102,50,13))</f>
      </c>
      <c r="O104" s="284"/>
      <c r="P104" s="288"/>
      <c r="Q104" s="289"/>
      <c r="R104" s="290"/>
    </row>
    <row r="105" spans="1:18" ht="19.5" customHeight="1">
      <c r="A105" s="279">
        <v>51</v>
      </c>
      <c r="B105" s="118">
        <f>IF(INDEX('参加者データ（要入力）'!$B$3:$O$102,51,2)="","",INDEX('参加者データ（要入力）'!$B$3:$O$102,51,2))</f>
      </c>
      <c r="C105" s="280">
        <f>IF(INDEX('参加者データ（要入力）'!$B$3:$O$102,51,3)="","",INDEX('参加者データ（要入力）'!$B$3:$O$102,51,3))</f>
      </c>
      <c r="D105" s="237">
        <f>IF(INDEX('参加者データ（要入力）'!$B$3:$O$102,51,4)="","",INDEX('参加者データ（要入力）'!$B$3:$O$102,51,4))</f>
      </c>
      <c r="E105" s="121">
        <f>IF(INDEX('参加者データ（要入力）'!$B$3:$O$102,51,5)="","",INDEX('参加者データ（要入力）'!$B$3:$O$102,51,5))</f>
      </c>
      <c r="F105" s="274">
        <f>IF(INDEX('参加者データ（要入力）'!$B$3:$O$102,51,9)="","",INDEX('参加者データ（要入力）'!$B$3:$O$102,51,9))</f>
      </c>
      <c r="G105" s="126"/>
      <c r="H105" s="131"/>
      <c r="I105" s="96">
        <f>IF(INDEX('参加者データ（要入力）'!$B$3:$O$102,51,11)="","",INDEX('参加者データ（要入力）'!$B$3:$O$102,51,11))</f>
      </c>
      <c r="J105" s="86" t="s">
        <v>96</v>
      </c>
      <c r="K105" s="97">
        <f>IF(INDEX('参加者データ（要入力）'!$B$3:$O$102,51,6)="","",INDEX('参加者データ（要入力）'!$B$3:$O$102,51,6))</f>
      </c>
      <c r="L105" s="87" t="s">
        <v>97</v>
      </c>
      <c r="M105" s="98">
        <f>IF(INDEX('参加者データ（要入力）'!$B$3:$O$102,51,8)="","",INDEX('参加者データ（要入力）'!$B$3:$O$102,51,8))</f>
      </c>
      <c r="N105" s="95">
        <f>IF(INDEX('参加者データ（要入力）'!$B$3:$O$102,51,12)="","",INDEX('参加者データ（要入力）'!$B$3:$O$102,51,12))</f>
      </c>
      <c r="O105" s="283">
        <f>IF(INDEX('参加者データ（要入力）'!$B$3:$P$102,51,14)="","",INDEX('参加者データ（要入力）'!$B$3:$P$102,51,14))</f>
      </c>
      <c r="P105" s="285">
        <f>IF(INDEX('参加者データ（要入力）'!$B$3:$P$102,51,15)="","",INDEX('参加者データ（要入力）'!$B$3:$P$102,51,15))</f>
      </c>
      <c r="Q105" s="286"/>
      <c r="R105" s="287"/>
    </row>
    <row r="106" spans="1:18" ht="31.5" customHeight="1">
      <c r="A106" s="279"/>
      <c r="B106" s="117">
        <f>IF(INDEX('参加者データ（要入力）'!$B$3:$O$102,51,1)="","",INDEX('参加者データ（要入力）'!$B$3:$O$102,51,1))</f>
      </c>
      <c r="C106" s="237"/>
      <c r="D106" s="237"/>
      <c r="E106" s="124">
        <f>IF(INDEX('参加者データ（要入力）'!$B$3:$O$102,51,5)="","",INDEX('参加者データ（要入力）'!$B$3:$O$102,51,5))</f>
      </c>
      <c r="F106" s="275"/>
      <c r="G106" s="127" t="s">
        <v>98</v>
      </c>
      <c r="H106" s="132">
        <f>IF(AND(C105="女",F105="A"),"尼","")</f>
      </c>
      <c r="I106" s="176">
        <f>IF(INDEX('参加者データ（要入力）'!$B$3:$O$102,51,10)="","",INDEX('参加者データ（要入力）'!$B$3:$O$102,51,10))</f>
      </c>
      <c r="J106" s="276">
        <f>IF(INDEX('参加者データ（要入力）'!$B$3:$O$102,51,7)="","",INDEX('参加者データ（要入力）'!$B$3:$O$102,51,7))</f>
      </c>
      <c r="K106" s="277" t="str">
        <f>INDEX('参加者データ（要入力）'!$B$2:$O$102,1,6)</f>
        <v>600-8308</v>
      </c>
      <c r="L106" s="277" t="str">
        <f>INDEX('参加者データ（要入力）'!$B$2:$O$102,1,6)</f>
        <v>600-8308</v>
      </c>
      <c r="M106" s="278" t="str">
        <f>INDEX('参加者データ（要入力）'!$B$2:$O$102,1,6)</f>
        <v>600-8308</v>
      </c>
      <c r="N106" s="99">
        <f>IF(INDEX('参加者データ（要入力）'!$B$3:$O$102,51,13)="","",INDEX('参加者データ（要入力）'!$B$3:$O$102,51,13))</f>
      </c>
      <c r="O106" s="284"/>
      <c r="P106" s="288"/>
      <c r="Q106" s="289"/>
      <c r="R106" s="290"/>
    </row>
    <row r="107" spans="1:18" ht="19.5" customHeight="1">
      <c r="A107" s="279">
        <v>52</v>
      </c>
      <c r="B107" s="118">
        <f>IF(INDEX('参加者データ（要入力）'!$B$3:$O$102,52,2)="","",INDEX('参加者データ（要入力）'!$B$3:$O$102,52,2))</f>
      </c>
      <c r="C107" s="280">
        <f>IF(INDEX('参加者データ（要入力）'!$B$3:$O$102,52,3)="","",INDEX('参加者データ（要入力）'!$B$3:$O$102,52,3))</f>
      </c>
      <c r="D107" s="280">
        <f>IF(INDEX('参加者データ（要入力）'!$B$3:$O$102,52,4)="","",INDEX('参加者データ（要入力）'!$B$3:$O$102,52,4))</f>
      </c>
      <c r="E107" s="121">
        <f>IF(INDEX('参加者データ（要入力）'!$B$3:$O$102,52,5)="","",INDEX('参加者データ（要入力）'!$B$3:$O$102,52,5))</f>
      </c>
      <c r="F107" s="274">
        <f>IF(INDEX('参加者データ（要入力）'!$B$3:$O$102,52,9)="","",INDEX('参加者データ（要入力）'!$B$3:$O$102,52,9))</f>
      </c>
      <c r="G107" s="126"/>
      <c r="H107" s="131"/>
      <c r="I107" s="96">
        <f>IF(INDEX('参加者データ（要入力）'!$B$3:$O$102,52,11)="","",INDEX('参加者データ（要入力）'!$B$3:$O$102,52,11))</f>
      </c>
      <c r="J107" s="86" t="s">
        <v>96</v>
      </c>
      <c r="K107" s="97">
        <f>IF(INDEX('参加者データ（要入力）'!$B$3:$O$102,52,6)="","",INDEX('参加者データ（要入力）'!$B$3:$O$102,52,6))</f>
      </c>
      <c r="L107" s="87" t="s">
        <v>97</v>
      </c>
      <c r="M107" s="98">
        <f>IF(INDEX('参加者データ（要入力）'!$B$3:$O$102,52,8)="","",INDEX('参加者データ（要入力）'!$B$3:$O$102,52,8))</f>
      </c>
      <c r="N107" s="95">
        <f>IF(INDEX('参加者データ（要入力）'!$B$3:$O$102,52,12)="","",INDEX('参加者データ（要入力）'!$B$3:$O$102,52,12))</f>
      </c>
      <c r="O107" s="283">
        <f>IF(INDEX('参加者データ（要入力）'!$B$3:$P$102,52,14)="","",INDEX('参加者データ（要入力）'!$B$3:$P$102,52,14))</f>
      </c>
      <c r="P107" s="285">
        <f>IF(INDEX('参加者データ（要入力）'!$B$3:$P$102,52,15)="","",INDEX('参加者データ（要入力）'!$B$3:$P$102,52,15))</f>
      </c>
      <c r="Q107" s="286"/>
      <c r="R107" s="287"/>
    </row>
    <row r="108" spans="1:18" ht="31.5" customHeight="1">
      <c r="A108" s="279"/>
      <c r="B108" s="117">
        <f>IF(INDEX('参加者データ（要入力）'!$B$3:$O$102,52,1)="","",INDEX('参加者データ（要入力）'!$B$3:$O$102,52,1))</f>
      </c>
      <c r="C108" s="237"/>
      <c r="D108" s="237"/>
      <c r="E108" s="124">
        <f>IF(INDEX('参加者データ（要入力）'!$B$3:$O$102,52,5)="","",INDEX('参加者データ（要入力）'!$B$3:$O$102,52,5))</f>
      </c>
      <c r="F108" s="275"/>
      <c r="G108" s="127" t="s">
        <v>98</v>
      </c>
      <c r="H108" s="132">
        <f>IF(AND(C107="女",F107="A"),"尼","")</f>
      </c>
      <c r="I108" s="176">
        <f>IF(INDEX('参加者データ（要入力）'!$B$3:$O$102,52,10)="","",INDEX('参加者データ（要入力）'!$B$3:$O$102,52,10))</f>
      </c>
      <c r="J108" s="276">
        <f>IF(INDEX('参加者データ（要入力）'!$B$3:$O$102,52,7)="","",INDEX('参加者データ（要入力）'!$B$3:$O$102,52,7))</f>
      </c>
      <c r="K108" s="277" t="str">
        <f>INDEX('参加者データ（要入力）'!$B$2:$O$102,1,6)</f>
        <v>600-8308</v>
      </c>
      <c r="L108" s="277" t="str">
        <f>INDEX('参加者データ（要入力）'!$B$2:$O$102,1,6)</f>
        <v>600-8308</v>
      </c>
      <c r="M108" s="278" t="str">
        <f>INDEX('参加者データ（要入力）'!$B$2:$O$102,1,6)</f>
        <v>600-8308</v>
      </c>
      <c r="N108" s="99">
        <f>IF(INDEX('参加者データ（要入力）'!$B$3:$O$102,52,13)="","",INDEX('参加者データ（要入力）'!$B$3:$O$102,52,13))</f>
      </c>
      <c r="O108" s="284"/>
      <c r="P108" s="288"/>
      <c r="Q108" s="289"/>
      <c r="R108" s="290"/>
    </row>
    <row r="109" spans="1:18" ht="19.5" customHeight="1">
      <c r="A109" s="279">
        <v>53</v>
      </c>
      <c r="B109" s="118">
        <f>IF(INDEX('参加者データ（要入力）'!$B$3:$O$102,53,2)="","",INDEX('参加者データ（要入力）'!$B$3:$O$102,53,2))</f>
      </c>
      <c r="C109" s="280">
        <f>IF(INDEX('参加者データ（要入力）'!$B$3:$O$102,53,3)="","",INDEX('参加者データ（要入力）'!$B$3:$O$102,53,3))</f>
      </c>
      <c r="D109" s="237">
        <f>IF(INDEX('参加者データ（要入力）'!$B$3:$O$102,53,4)="","",INDEX('参加者データ（要入力）'!$B$3:$O$102,53,4))</f>
      </c>
      <c r="E109" s="121">
        <f>IF(INDEX('参加者データ（要入力）'!$B$3:$O$102,53,5)="","",INDEX('参加者データ（要入力）'!$B$3:$O$102,53,5))</f>
      </c>
      <c r="F109" s="274">
        <f>IF(INDEX('参加者データ（要入力）'!$B$3:$O$102,53,9)="","",INDEX('参加者データ（要入力）'!$B$3:$O$102,53,9))</f>
      </c>
      <c r="G109" s="126"/>
      <c r="H109" s="131"/>
      <c r="I109" s="96">
        <f>IF(INDEX('参加者データ（要入力）'!$B$3:$O$102,53,11)="","",INDEX('参加者データ（要入力）'!$B$3:$O$102,53,11))</f>
      </c>
      <c r="J109" s="86" t="s">
        <v>96</v>
      </c>
      <c r="K109" s="97">
        <f>IF(INDEX('参加者データ（要入力）'!$B$3:$O$102,53,6)="","",INDEX('参加者データ（要入力）'!$B$3:$O$102,53,6))</f>
      </c>
      <c r="L109" s="87" t="s">
        <v>97</v>
      </c>
      <c r="M109" s="98">
        <f>IF(INDEX('参加者データ（要入力）'!$B$3:$O$102,53,8)="","",INDEX('参加者データ（要入力）'!$B$3:$O$102,53,8))</f>
      </c>
      <c r="N109" s="95">
        <f>IF(INDEX('参加者データ（要入力）'!$B$3:$O$102,53,12)="","",INDEX('参加者データ（要入力）'!$B$3:$O$102,53,12))</f>
      </c>
      <c r="O109" s="283">
        <f>IF(INDEX('参加者データ（要入力）'!$B$3:$P$102,53,14)="","",INDEX('参加者データ（要入力）'!$B$3:$P$102,53,14))</f>
      </c>
      <c r="P109" s="285">
        <f>IF(INDEX('参加者データ（要入力）'!$B$3:$P$102,53,15)="","",INDEX('参加者データ（要入力）'!$B$3:$P$102,53,15))</f>
      </c>
      <c r="Q109" s="286"/>
      <c r="R109" s="287"/>
    </row>
    <row r="110" spans="1:18" ht="31.5" customHeight="1">
      <c r="A110" s="279"/>
      <c r="B110" s="117">
        <f>IF(INDEX('参加者データ（要入力）'!$B$3:$O$102,53,1)="","",INDEX('参加者データ（要入力）'!$B$3:$O$102,53,1))</f>
      </c>
      <c r="C110" s="237"/>
      <c r="D110" s="237"/>
      <c r="E110" s="124">
        <f>IF(INDEX('参加者データ（要入力）'!$B$3:$O$102,53,5)="","",INDEX('参加者データ（要入力）'!$B$3:$O$102,53,5))</f>
      </c>
      <c r="F110" s="275"/>
      <c r="G110" s="127" t="s">
        <v>98</v>
      </c>
      <c r="H110" s="132">
        <f>IF(AND(C109="女",F109="A"),"尼","")</f>
      </c>
      <c r="I110" s="176">
        <f>IF(INDEX('参加者データ（要入力）'!$B$3:$O$102,53,10)="","",INDEX('参加者データ（要入力）'!$B$3:$O$102,53,10))</f>
      </c>
      <c r="J110" s="276">
        <f>IF(INDEX('参加者データ（要入力）'!$B$3:$O$102,53,7)="","",INDEX('参加者データ（要入力）'!$B$3:$O$102,53,7))</f>
      </c>
      <c r="K110" s="277" t="str">
        <f>INDEX('参加者データ（要入力）'!$B$2:$O$102,1,6)</f>
        <v>600-8308</v>
      </c>
      <c r="L110" s="277" t="str">
        <f>INDEX('参加者データ（要入力）'!$B$2:$O$102,1,6)</f>
        <v>600-8308</v>
      </c>
      <c r="M110" s="278" t="str">
        <f>INDEX('参加者データ（要入力）'!$B$2:$O$102,1,6)</f>
        <v>600-8308</v>
      </c>
      <c r="N110" s="99">
        <f>IF(INDEX('参加者データ（要入力）'!$B$3:$O$102,53,13)="","",INDEX('参加者データ（要入力）'!$B$3:$O$102,53,13))</f>
      </c>
      <c r="O110" s="284"/>
      <c r="P110" s="288"/>
      <c r="Q110" s="289"/>
      <c r="R110" s="290"/>
    </row>
    <row r="111" spans="1:18" ht="19.5" customHeight="1">
      <c r="A111" s="279">
        <v>54</v>
      </c>
      <c r="B111" s="118">
        <f>IF(INDEX('参加者データ（要入力）'!$B$3:$O$102,54,2)="","",INDEX('参加者データ（要入力）'!$B$3:$O$102,54,2))</f>
      </c>
      <c r="C111" s="280">
        <f>IF(INDEX('参加者データ（要入力）'!$B$3:$O$102,54,3)="","",INDEX('参加者データ（要入力）'!$B$3:$O$102,54,3))</f>
      </c>
      <c r="D111" s="280">
        <f>IF(INDEX('参加者データ（要入力）'!$B$3:$O$102,54,4)="","",INDEX('参加者データ（要入力）'!$B$3:$O$102,54,4))</f>
      </c>
      <c r="E111" s="121">
        <f>IF(INDEX('参加者データ（要入力）'!$B$3:$O$102,54,5)="","",INDEX('参加者データ（要入力）'!$B$3:$O$102,54,5))</f>
      </c>
      <c r="F111" s="274">
        <f>IF(INDEX('参加者データ（要入力）'!$B$3:$O$102,54,9)="","",INDEX('参加者データ（要入力）'!$B$3:$O$102,54,9))</f>
      </c>
      <c r="G111" s="126"/>
      <c r="H111" s="131"/>
      <c r="I111" s="96">
        <f>IF(INDEX('参加者データ（要入力）'!$B$3:$O$102,54,11)="","",INDEX('参加者データ（要入力）'!$B$3:$O$102,54,11))</f>
      </c>
      <c r="J111" s="86" t="s">
        <v>96</v>
      </c>
      <c r="K111" s="97">
        <f>IF(INDEX('参加者データ（要入力）'!$B$3:$O$102,54,6)="","",INDEX('参加者データ（要入力）'!$B$3:$O$102,54,6))</f>
      </c>
      <c r="L111" s="87" t="s">
        <v>97</v>
      </c>
      <c r="M111" s="98">
        <f>IF(INDEX('参加者データ（要入力）'!$B$3:$O$102,54,8)="","",INDEX('参加者データ（要入力）'!$B$3:$O$102,54,8))</f>
      </c>
      <c r="N111" s="95">
        <f>IF(INDEX('参加者データ（要入力）'!$B$3:$O$102,54,12)="","",INDEX('参加者データ（要入力）'!$B$3:$O$102,54,12))</f>
      </c>
      <c r="O111" s="283">
        <f>IF(INDEX('参加者データ（要入力）'!$B$3:$P$102,54,14)="","",INDEX('参加者データ（要入力）'!$B$3:$P$102,54,14))</f>
      </c>
      <c r="P111" s="285">
        <f>IF(INDEX('参加者データ（要入力）'!$B$3:$P$102,54,15)="","",INDEX('参加者データ（要入力）'!$B$3:$P$102,54,15))</f>
      </c>
      <c r="Q111" s="286"/>
      <c r="R111" s="287"/>
    </row>
    <row r="112" spans="1:18" ht="31.5" customHeight="1">
      <c r="A112" s="279"/>
      <c r="B112" s="117">
        <f>IF(INDEX('参加者データ（要入力）'!$B$3:$O$102,54,1)="","",INDEX('参加者データ（要入力）'!$B$3:$O$102,54,1))</f>
      </c>
      <c r="C112" s="237"/>
      <c r="D112" s="237"/>
      <c r="E112" s="124">
        <f>IF(INDEX('参加者データ（要入力）'!$B$3:$O$102,54,5)="","",INDEX('参加者データ（要入力）'!$B$3:$O$102,54,5))</f>
      </c>
      <c r="F112" s="275"/>
      <c r="G112" s="127" t="s">
        <v>98</v>
      </c>
      <c r="H112" s="132">
        <f>IF(AND(C111="女",F111="A"),"尼","")</f>
      </c>
      <c r="I112" s="176">
        <f>IF(INDEX('参加者データ（要入力）'!$B$3:$O$102,54,10)="","",INDEX('参加者データ（要入力）'!$B$3:$O$102,54,10))</f>
      </c>
      <c r="J112" s="276">
        <f>IF(INDEX('参加者データ（要入力）'!$B$3:$O$102,54,7)="","",INDEX('参加者データ（要入力）'!$B$3:$O$102,54,7))</f>
      </c>
      <c r="K112" s="277" t="str">
        <f>INDEX('参加者データ（要入力）'!$B$2:$O$102,1,6)</f>
        <v>600-8308</v>
      </c>
      <c r="L112" s="277" t="str">
        <f>INDEX('参加者データ（要入力）'!$B$2:$O$102,1,6)</f>
        <v>600-8308</v>
      </c>
      <c r="M112" s="278" t="str">
        <f>INDEX('参加者データ（要入力）'!$B$2:$O$102,1,6)</f>
        <v>600-8308</v>
      </c>
      <c r="N112" s="99">
        <f>IF(INDEX('参加者データ（要入力）'!$B$3:$O$102,54,13)="","",INDEX('参加者データ（要入力）'!$B$3:$O$102,54,13))</f>
      </c>
      <c r="O112" s="284"/>
      <c r="P112" s="288"/>
      <c r="Q112" s="289"/>
      <c r="R112" s="290"/>
    </row>
    <row r="113" spans="1:18" ht="19.5" customHeight="1">
      <c r="A113" s="279">
        <v>55</v>
      </c>
      <c r="B113" s="118">
        <f>IF(INDEX('参加者データ（要入力）'!$B$3:$O$102,55,2)="","",INDEX('参加者データ（要入力）'!$B$3:$O$102,55,2))</f>
      </c>
      <c r="C113" s="280">
        <f>IF(INDEX('参加者データ（要入力）'!$B$3:$O$102,55,3)="","",INDEX('参加者データ（要入力）'!$B$3:$O$102,55,3))</f>
      </c>
      <c r="D113" s="237">
        <f>IF(INDEX('参加者データ（要入力）'!$B$3:$O$102,55,4)="","",INDEX('参加者データ（要入力）'!$B$3:$O$102,55,4))</f>
      </c>
      <c r="E113" s="121">
        <f>IF(INDEX('参加者データ（要入力）'!$B$3:$O$102,55,5)="","",INDEX('参加者データ（要入力）'!$B$3:$O$102,55,5))</f>
      </c>
      <c r="F113" s="274">
        <f>IF(INDEX('参加者データ（要入力）'!$B$3:$O$102,55,9)="","",INDEX('参加者データ（要入力）'!$B$3:$O$102,55,9))</f>
      </c>
      <c r="G113" s="126"/>
      <c r="H113" s="131"/>
      <c r="I113" s="96">
        <f>IF(INDEX('参加者データ（要入力）'!$B$3:$O$102,55,11)="","",INDEX('参加者データ（要入力）'!$B$3:$O$102,55,11))</f>
      </c>
      <c r="J113" s="86" t="s">
        <v>96</v>
      </c>
      <c r="K113" s="97">
        <f>IF(INDEX('参加者データ（要入力）'!$B$3:$O$102,55,6)="","",INDEX('参加者データ（要入力）'!$B$3:$O$102,55,6))</f>
      </c>
      <c r="L113" s="87" t="s">
        <v>97</v>
      </c>
      <c r="M113" s="98">
        <f>IF(INDEX('参加者データ（要入力）'!$B$3:$O$102,55,8)="","",INDEX('参加者データ（要入力）'!$B$3:$O$102,55,8))</f>
      </c>
      <c r="N113" s="95">
        <f>IF(INDEX('参加者データ（要入力）'!$B$3:$O$102,55,12)="","",INDEX('参加者データ（要入力）'!$B$3:$O$102,55,12))</f>
      </c>
      <c r="O113" s="283">
        <f>IF(INDEX('参加者データ（要入力）'!$B$3:$P$102,55,14)="","",INDEX('参加者データ（要入力）'!$B$3:$P$102,55,14))</f>
      </c>
      <c r="P113" s="285">
        <f>IF(INDEX('参加者データ（要入力）'!$B$3:$P$102,55,15)="","",INDEX('参加者データ（要入力）'!$B$3:$P$102,55,15))</f>
      </c>
      <c r="Q113" s="286"/>
      <c r="R113" s="287"/>
    </row>
    <row r="114" spans="1:18" ht="31.5" customHeight="1">
      <c r="A114" s="279"/>
      <c r="B114" s="117">
        <f>IF(INDEX('参加者データ（要入力）'!$B$3:$O$102,55,1)="","",INDEX('参加者データ（要入力）'!$B$3:$O$102,55,1))</f>
      </c>
      <c r="C114" s="237"/>
      <c r="D114" s="237"/>
      <c r="E114" s="124">
        <f>IF(INDEX('参加者データ（要入力）'!$B$3:$O$102,55,5)="","",INDEX('参加者データ（要入力）'!$B$3:$O$102,55,5))</f>
      </c>
      <c r="F114" s="275"/>
      <c r="G114" s="127" t="s">
        <v>98</v>
      </c>
      <c r="H114" s="132">
        <f>IF(AND(C113="女",F113="A"),"尼","")</f>
      </c>
      <c r="I114" s="176">
        <f>IF(INDEX('参加者データ（要入力）'!$B$3:$O$102,55,10)="","",INDEX('参加者データ（要入力）'!$B$3:$O$102,55,10))</f>
      </c>
      <c r="J114" s="276">
        <f>IF(INDEX('参加者データ（要入力）'!$B$3:$O$102,55,7)="","",INDEX('参加者データ（要入力）'!$B$3:$O$102,55,7))</f>
      </c>
      <c r="K114" s="277" t="str">
        <f>INDEX('参加者データ（要入力）'!$B$2:$O$102,1,6)</f>
        <v>600-8308</v>
      </c>
      <c r="L114" s="277" t="str">
        <f>INDEX('参加者データ（要入力）'!$B$2:$O$102,1,6)</f>
        <v>600-8308</v>
      </c>
      <c r="M114" s="278" t="str">
        <f>INDEX('参加者データ（要入力）'!$B$2:$O$102,1,6)</f>
        <v>600-8308</v>
      </c>
      <c r="N114" s="99">
        <f>IF(INDEX('参加者データ（要入力）'!$B$3:$O$102,55,13)="","",INDEX('参加者データ（要入力）'!$B$3:$O$102,55,13))</f>
      </c>
      <c r="O114" s="284"/>
      <c r="P114" s="288"/>
      <c r="Q114" s="289"/>
      <c r="R114" s="290"/>
    </row>
    <row r="115" spans="1:18" ht="19.5" customHeight="1">
      <c r="A115" s="279">
        <v>56</v>
      </c>
      <c r="B115" s="118">
        <f>IF(INDEX('参加者データ（要入力）'!$B$3:$O$102,56,2)="","",INDEX('参加者データ（要入力）'!$B$3:$O$102,56,2))</f>
      </c>
      <c r="C115" s="280">
        <f>IF(INDEX('参加者データ（要入力）'!$B$3:$O$102,56,3)="","",INDEX('参加者データ（要入力）'!$B$3:$O$102,56,3))</f>
      </c>
      <c r="D115" s="280">
        <f>IF(INDEX('参加者データ（要入力）'!$B$3:$O$102,56,4)="","",INDEX('参加者データ（要入力）'!$B$3:$O$102,56,4))</f>
      </c>
      <c r="E115" s="121">
        <f>IF(INDEX('参加者データ（要入力）'!$B$3:$O$102,56,5)="","",INDEX('参加者データ（要入力）'!$B$3:$O$102,56,5))</f>
      </c>
      <c r="F115" s="274">
        <f>IF(INDEX('参加者データ（要入力）'!$B$3:$O$102,56,9)="","",INDEX('参加者データ（要入力）'!$B$3:$O$102,56,9))</f>
      </c>
      <c r="G115" s="126"/>
      <c r="H115" s="131"/>
      <c r="I115" s="96">
        <f>IF(INDEX('参加者データ（要入力）'!$B$3:$O$102,56,11)="","",INDEX('参加者データ（要入力）'!$B$3:$O$102,56,11))</f>
      </c>
      <c r="J115" s="86" t="s">
        <v>96</v>
      </c>
      <c r="K115" s="97">
        <f>IF(INDEX('参加者データ（要入力）'!$B$3:$O$102,56,6)="","",INDEX('参加者データ（要入力）'!$B$3:$O$102,56,6))</f>
      </c>
      <c r="L115" s="87" t="s">
        <v>97</v>
      </c>
      <c r="M115" s="98">
        <f>IF(INDEX('参加者データ（要入力）'!$B$3:$O$102,56,8)="","",INDEX('参加者データ（要入力）'!$B$3:$O$102,56,8))</f>
      </c>
      <c r="N115" s="95">
        <f>IF(INDEX('参加者データ（要入力）'!$B$3:$O$102,56,12)="","",INDEX('参加者データ（要入力）'!$B$3:$O$102,56,12))</f>
      </c>
      <c r="O115" s="283">
        <f>IF(INDEX('参加者データ（要入力）'!$B$3:$P$102,56,14)="","",INDEX('参加者データ（要入力）'!$B$3:$P$102,56,14))</f>
      </c>
      <c r="P115" s="285">
        <f>IF(INDEX('参加者データ（要入力）'!$B$3:$P$102,56,15)="","",INDEX('参加者データ（要入力）'!$B$3:$P$102,56,15))</f>
      </c>
      <c r="Q115" s="286"/>
      <c r="R115" s="287"/>
    </row>
    <row r="116" spans="1:18" ht="31.5" customHeight="1">
      <c r="A116" s="279"/>
      <c r="B116" s="117">
        <f>IF(INDEX('参加者データ（要入力）'!$B$3:$O$102,56,1)="","",INDEX('参加者データ（要入力）'!$B$3:$O$102,56,1))</f>
      </c>
      <c r="C116" s="237"/>
      <c r="D116" s="237"/>
      <c r="E116" s="124">
        <f>IF(INDEX('参加者データ（要入力）'!$B$3:$O$102,56,5)="","",INDEX('参加者データ（要入力）'!$B$3:$O$102,56,5))</f>
      </c>
      <c r="F116" s="275"/>
      <c r="G116" s="127" t="s">
        <v>98</v>
      </c>
      <c r="H116" s="132">
        <f>IF(AND(C115="女",F115="A"),"尼","")</f>
      </c>
      <c r="I116" s="176">
        <f>IF(INDEX('参加者データ（要入力）'!$B$3:$O$102,56,10)="","",INDEX('参加者データ（要入力）'!$B$3:$O$102,56,10))</f>
      </c>
      <c r="J116" s="276">
        <f>IF(INDEX('参加者データ（要入力）'!$B$3:$O$102,56,7)="","",INDEX('参加者データ（要入力）'!$B$3:$O$102,56,7))</f>
      </c>
      <c r="K116" s="277" t="str">
        <f>INDEX('参加者データ（要入力）'!$B$2:$O$102,1,6)</f>
        <v>600-8308</v>
      </c>
      <c r="L116" s="277" t="str">
        <f>INDEX('参加者データ（要入力）'!$B$2:$O$102,1,6)</f>
        <v>600-8308</v>
      </c>
      <c r="M116" s="278" t="str">
        <f>INDEX('参加者データ（要入力）'!$B$2:$O$102,1,6)</f>
        <v>600-8308</v>
      </c>
      <c r="N116" s="99">
        <f>IF(INDEX('参加者データ（要入力）'!$B$3:$O$102,56,13)="","",INDEX('参加者データ（要入力）'!$B$3:$O$102,56,13))</f>
      </c>
      <c r="O116" s="284"/>
      <c r="P116" s="288"/>
      <c r="Q116" s="289"/>
      <c r="R116" s="290"/>
    </row>
    <row r="117" spans="1:18" ht="19.5" customHeight="1">
      <c r="A117" s="279">
        <v>57</v>
      </c>
      <c r="B117" s="118">
        <f>IF(INDEX('参加者データ（要入力）'!$B$3:$O$102,57,2)="","",INDEX('参加者データ（要入力）'!$B$3:$O$102,57,2))</f>
      </c>
      <c r="C117" s="280">
        <f>IF(INDEX('参加者データ（要入力）'!$B$3:$O$102,57,3)="","",INDEX('参加者データ（要入力）'!$B$3:$O$102,57,3))</f>
      </c>
      <c r="D117" s="237">
        <f>IF(INDEX('参加者データ（要入力）'!$B$3:$O$102,57,4)="","",INDEX('参加者データ（要入力）'!$B$3:$O$102,57,4))</f>
      </c>
      <c r="E117" s="121">
        <f>IF(INDEX('参加者データ（要入力）'!$B$3:$O$102,57,5)="","",INDEX('参加者データ（要入力）'!$B$3:$O$102,57,5))</f>
      </c>
      <c r="F117" s="274">
        <f>IF(INDEX('参加者データ（要入力）'!$B$3:$O$102,57,9)="","",INDEX('参加者データ（要入力）'!$B$3:$O$102,57,9))</f>
      </c>
      <c r="G117" s="126"/>
      <c r="H117" s="131"/>
      <c r="I117" s="96">
        <f>IF(INDEX('参加者データ（要入力）'!$B$3:$O$102,57,11)="","",INDEX('参加者データ（要入力）'!$B$3:$O$102,57,11))</f>
      </c>
      <c r="J117" s="86" t="s">
        <v>96</v>
      </c>
      <c r="K117" s="97">
        <f>IF(INDEX('参加者データ（要入力）'!$B$3:$O$102,57,6)="","",INDEX('参加者データ（要入力）'!$B$3:$O$102,57,6))</f>
      </c>
      <c r="L117" s="87" t="s">
        <v>97</v>
      </c>
      <c r="M117" s="98">
        <f>IF(INDEX('参加者データ（要入力）'!$B$3:$O$102,57,8)="","",INDEX('参加者データ（要入力）'!$B$3:$O$102,57,8))</f>
      </c>
      <c r="N117" s="95">
        <f>IF(INDEX('参加者データ（要入力）'!$B$3:$O$102,57,12)="","",INDEX('参加者データ（要入力）'!$B$3:$O$102,57,12))</f>
      </c>
      <c r="O117" s="283">
        <f>IF(INDEX('参加者データ（要入力）'!$B$3:$P$102,57,14)="","",INDEX('参加者データ（要入力）'!$B$3:$P$102,57,14))</f>
      </c>
      <c r="P117" s="285">
        <f>IF(INDEX('参加者データ（要入力）'!$B$3:$P$102,57,15)="","",INDEX('参加者データ（要入力）'!$B$3:$P$102,57,15))</f>
      </c>
      <c r="Q117" s="286"/>
      <c r="R117" s="287"/>
    </row>
    <row r="118" spans="1:18" ht="31.5" customHeight="1">
      <c r="A118" s="279"/>
      <c r="B118" s="117">
        <f>IF(INDEX('参加者データ（要入力）'!$B$3:$O$102,57,1)="","",INDEX('参加者データ（要入力）'!$B$3:$O$102,57,1))</f>
      </c>
      <c r="C118" s="237"/>
      <c r="D118" s="237"/>
      <c r="E118" s="124">
        <f>IF(INDEX('参加者データ（要入力）'!$B$3:$O$102,57,5)="","",INDEX('参加者データ（要入力）'!$B$3:$O$102,57,5))</f>
      </c>
      <c r="F118" s="275"/>
      <c r="G118" s="127" t="s">
        <v>98</v>
      </c>
      <c r="H118" s="132">
        <f>IF(AND(C117="女",F117="A"),"尼","")</f>
      </c>
      <c r="I118" s="176">
        <f>IF(INDEX('参加者データ（要入力）'!$B$3:$O$102,57,10)="","",INDEX('参加者データ（要入力）'!$B$3:$O$102,57,10))</f>
      </c>
      <c r="J118" s="276">
        <f>IF(INDEX('参加者データ（要入力）'!$B$3:$O$102,57,7)="","",INDEX('参加者データ（要入力）'!$B$3:$O$102,57,7))</f>
      </c>
      <c r="K118" s="277" t="str">
        <f>INDEX('参加者データ（要入力）'!$B$2:$O$102,1,6)</f>
        <v>600-8308</v>
      </c>
      <c r="L118" s="277" t="str">
        <f>INDEX('参加者データ（要入力）'!$B$2:$O$102,1,6)</f>
        <v>600-8308</v>
      </c>
      <c r="M118" s="278" t="str">
        <f>INDEX('参加者データ（要入力）'!$B$2:$O$102,1,6)</f>
        <v>600-8308</v>
      </c>
      <c r="N118" s="99">
        <f>IF(INDEX('参加者データ（要入力）'!$B$3:$O$102,57,13)="","",INDEX('参加者データ（要入力）'!$B$3:$O$102,57,13))</f>
      </c>
      <c r="O118" s="284"/>
      <c r="P118" s="288"/>
      <c r="Q118" s="289"/>
      <c r="R118" s="290"/>
    </row>
    <row r="119" spans="1:18" ht="19.5" customHeight="1">
      <c r="A119" s="279">
        <v>58</v>
      </c>
      <c r="B119" s="118">
        <f>IF(INDEX('参加者データ（要入力）'!$B$3:$O$102,58,2)="","",INDEX('参加者データ（要入力）'!$B$3:$O$102,58,2))</f>
      </c>
      <c r="C119" s="280">
        <f>IF(INDEX('参加者データ（要入力）'!$B$3:$O$102,58,3)="","",INDEX('参加者データ（要入力）'!$B$3:$O$102,58,3))</f>
      </c>
      <c r="D119" s="280">
        <f>IF(INDEX('参加者データ（要入力）'!$B$3:$O$102,58,4)="","",INDEX('参加者データ（要入力）'!$B$3:$O$102,58,4))</f>
      </c>
      <c r="E119" s="121">
        <f>IF(INDEX('参加者データ（要入力）'!$B$3:$O$102,58,5)="","",INDEX('参加者データ（要入力）'!$B$3:$O$102,58,5))</f>
      </c>
      <c r="F119" s="274">
        <f>IF(INDEX('参加者データ（要入力）'!$B$3:$O$102,58,9)="","",INDEX('参加者データ（要入力）'!$B$3:$O$102,58,9))</f>
      </c>
      <c r="G119" s="126"/>
      <c r="H119" s="131"/>
      <c r="I119" s="96">
        <f>IF(INDEX('参加者データ（要入力）'!$B$3:$O$102,58,11)="","",INDEX('参加者データ（要入力）'!$B$3:$O$102,58,11))</f>
      </c>
      <c r="J119" s="86" t="s">
        <v>96</v>
      </c>
      <c r="K119" s="97">
        <f>IF(INDEX('参加者データ（要入力）'!$B$3:$O$102,58,6)="","",INDEX('参加者データ（要入力）'!$B$3:$O$102,58,6))</f>
      </c>
      <c r="L119" s="87" t="s">
        <v>97</v>
      </c>
      <c r="M119" s="98">
        <f>IF(INDEX('参加者データ（要入力）'!$B$3:$O$102,58,8)="","",INDEX('参加者データ（要入力）'!$B$3:$O$102,58,8))</f>
      </c>
      <c r="N119" s="95">
        <f>IF(INDEX('参加者データ（要入力）'!$B$3:$O$102,58,12)="","",INDEX('参加者データ（要入力）'!$B$3:$O$102,58,12))</f>
      </c>
      <c r="O119" s="283">
        <f>IF(INDEX('参加者データ（要入力）'!$B$3:$P$102,58,14)="","",INDEX('参加者データ（要入力）'!$B$3:$P$102,58,14))</f>
      </c>
      <c r="P119" s="285">
        <f>IF(INDEX('参加者データ（要入力）'!$B$3:$P$102,58,15)="","",INDEX('参加者データ（要入力）'!$B$3:$P$102,58,15))</f>
      </c>
      <c r="Q119" s="286"/>
      <c r="R119" s="287"/>
    </row>
    <row r="120" spans="1:18" ht="31.5" customHeight="1">
      <c r="A120" s="279"/>
      <c r="B120" s="117">
        <f>IF(INDEX('参加者データ（要入力）'!$B$3:$O$102,58,1)="","",INDEX('参加者データ（要入力）'!$B$3:$O$102,58,1))</f>
      </c>
      <c r="C120" s="237"/>
      <c r="D120" s="237"/>
      <c r="E120" s="124">
        <f>IF(INDEX('参加者データ（要入力）'!$B$3:$O$102,58,5)="","",INDEX('参加者データ（要入力）'!$B$3:$O$102,58,5))</f>
      </c>
      <c r="F120" s="275"/>
      <c r="G120" s="127" t="s">
        <v>98</v>
      </c>
      <c r="H120" s="132">
        <f>IF(AND(C119="女",F119="A"),"尼","")</f>
      </c>
      <c r="I120" s="176">
        <f>IF(INDEX('参加者データ（要入力）'!$B$3:$O$102,58,10)="","",INDEX('参加者データ（要入力）'!$B$3:$O$102,58,10))</f>
      </c>
      <c r="J120" s="276">
        <f>IF(INDEX('参加者データ（要入力）'!$B$3:$O$102,58,7)="","",INDEX('参加者データ（要入力）'!$B$3:$O$102,58,7))</f>
      </c>
      <c r="K120" s="277" t="str">
        <f>INDEX('参加者データ（要入力）'!$B$2:$O$102,1,6)</f>
        <v>600-8308</v>
      </c>
      <c r="L120" s="277" t="str">
        <f>INDEX('参加者データ（要入力）'!$B$2:$O$102,1,6)</f>
        <v>600-8308</v>
      </c>
      <c r="M120" s="278" t="str">
        <f>INDEX('参加者データ（要入力）'!$B$2:$O$102,1,6)</f>
        <v>600-8308</v>
      </c>
      <c r="N120" s="99">
        <f>IF(INDEX('参加者データ（要入力）'!$B$3:$O$102,58,13)="","",INDEX('参加者データ（要入力）'!$B$3:$O$102,58,13))</f>
      </c>
      <c r="O120" s="284"/>
      <c r="P120" s="288"/>
      <c r="Q120" s="289"/>
      <c r="R120" s="290"/>
    </row>
    <row r="121" spans="1:18" ht="19.5" customHeight="1">
      <c r="A121" s="279">
        <v>59</v>
      </c>
      <c r="B121" s="118">
        <f>IF(INDEX('参加者データ（要入力）'!$B$3:$O$102,59,2)="","",INDEX('参加者データ（要入力）'!$B$3:$O$102,59,2))</f>
      </c>
      <c r="C121" s="280">
        <f>IF(INDEX('参加者データ（要入力）'!$B$3:$O$102,59,3)="","",INDEX('参加者データ（要入力）'!$B$3:$O$102,59,3))</f>
      </c>
      <c r="D121" s="237">
        <f>IF(INDEX('参加者データ（要入力）'!$B$3:$O$102,59,4)="","",INDEX('参加者データ（要入力）'!$B$3:$O$102,59,4))</f>
      </c>
      <c r="E121" s="121">
        <f>IF(INDEX('参加者データ（要入力）'!$B$3:$O$102,59,5)="","",INDEX('参加者データ（要入力）'!$B$3:$O$102,59,5))</f>
      </c>
      <c r="F121" s="274">
        <f>IF(INDEX('参加者データ（要入力）'!$B$3:$O$102,59,9)="","",INDEX('参加者データ（要入力）'!$B$3:$O$102,59,9))</f>
      </c>
      <c r="G121" s="126"/>
      <c r="H121" s="131"/>
      <c r="I121" s="96">
        <f>IF(INDEX('参加者データ（要入力）'!$B$3:$O$102,59,11)="","",INDEX('参加者データ（要入力）'!$B$3:$O$102,59,11))</f>
      </c>
      <c r="J121" s="86" t="s">
        <v>96</v>
      </c>
      <c r="K121" s="97">
        <f>IF(INDEX('参加者データ（要入力）'!$B$3:$O$102,59,6)="","",INDEX('参加者データ（要入力）'!$B$3:$O$102,59,6))</f>
      </c>
      <c r="L121" s="87" t="s">
        <v>97</v>
      </c>
      <c r="M121" s="98">
        <f>IF(INDEX('参加者データ（要入力）'!$B$3:$O$102,59,8)="","",INDEX('参加者データ（要入力）'!$B$3:$O$102,59,8))</f>
      </c>
      <c r="N121" s="95">
        <f>IF(INDEX('参加者データ（要入力）'!$B$3:$O$102,59,12)="","",INDEX('参加者データ（要入力）'!$B$3:$O$102,59,12))</f>
      </c>
      <c r="O121" s="283">
        <f>IF(INDEX('参加者データ（要入力）'!$B$3:$P$102,59,14)="","",INDEX('参加者データ（要入力）'!$B$3:$P$102,59,14))</f>
      </c>
      <c r="P121" s="285">
        <f>IF(INDEX('参加者データ（要入力）'!$B$3:$P$102,59,15)="","",INDEX('参加者データ（要入力）'!$B$3:$P$102,59,15))</f>
      </c>
      <c r="Q121" s="286"/>
      <c r="R121" s="287"/>
    </row>
    <row r="122" spans="1:18" ht="31.5" customHeight="1">
      <c r="A122" s="279"/>
      <c r="B122" s="117">
        <f>IF(INDEX('参加者データ（要入力）'!$B$3:$O$102,59,1)="","",INDEX('参加者データ（要入力）'!$B$3:$O$102,59,1))</f>
      </c>
      <c r="C122" s="237"/>
      <c r="D122" s="237"/>
      <c r="E122" s="124">
        <f>IF(INDEX('参加者データ（要入力）'!$B$3:$O$102,59,5)="","",INDEX('参加者データ（要入力）'!$B$3:$O$102,59,5))</f>
      </c>
      <c r="F122" s="275"/>
      <c r="G122" s="127" t="s">
        <v>98</v>
      </c>
      <c r="H122" s="132">
        <f>IF(AND(C121="女",F121="A"),"尼","")</f>
      </c>
      <c r="I122" s="176">
        <f>IF(INDEX('参加者データ（要入力）'!$B$3:$O$102,59,10)="","",INDEX('参加者データ（要入力）'!$B$3:$O$102,59,10))</f>
      </c>
      <c r="J122" s="276">
        <f>IF(INDEX('参加者データ（要入力）'!$B$3:$O$102,59,7)="","",INDEX('参加者データ（要入力）'!$B$3:$O$102,59,7))</f>
      </c>
      <c r="K122" s="277" t="str">
        <f>INDEX('参加者データ（要入力）'!$B$2:$O$102,1,6)</f>
        <v>600-8308</v>
      </c>
      <c r="L122" s="277" t="str">
        <f>INDEX('参加者データ（要入力）'!$B$2:$O$102,1,6)</f>
        <v>600-8308</v>
      </c>
      <c r="M122" s="278" t="str">
        <f>INDEX('参加者データ（要入力）'!$B$2:$O$102,1,6)</f>
        <v>600-8308</v>
      </c>
      <c r="N122" s="99">
        <f>IF(INDEX('参加者データ（要入力）'!$B$3:$O$102,59,13)="","",INDEX('参加者データ（要入力）'!$B$3:$O$102,59,13))</f>
      </c>
      <c r="O122" s="284"/>
      <c r="P122" s="288"/>
      <c r="Q122" s="289"/>
      <c r="R122" s="290"/>
    </row>
    <row r="123" spans="1:18" ht="19.5" customHeight="1">
      <c r="A123" s="279">
        <v>60</v>
      </c>
      <c r="B123" s="118">
        <f>IF(INDEX('参加者データ（要入力）'!$B$3:$O$102,60,2)="","",INDEX('参加者データ（要入力）'!$B$3:$O$102,60,2))</f>
      </c>
      <c r="C123" s="280">
        <f>IF(INDEX('参加者データ（要入力）'!$B$3:$O$102,60,3)="","",INDEX('参加者データ（要入力）'!$B$3:$O$102,60,3))</f>
      </c>
      <c r="D123" s="280">
        <f>IF(INDEX('参加者データ（要入力）'!$B$3:$O$102,60,4)="","",INDEX('参加者データ（要入力）'!$B$3:$O$102,60,4))</f>
      </c>
      <c r="E123" s="121">
        <f>IF(INDEX('参加者データ（要入力）'!$B$3:$O$102,60,5)="","",INDEX('参加者データ（要入力）'!$B$3:$O$102,60,5))</f>
      </c>
      <c r="F123" s="274">
        <f>IF(INDEX('参加者データ（要入力）'!$B$3:$O$102,60,9)="","",INDEX('参加者データ（要入力）'!$B$3:$O$102,60,9))</f>
      </c>
      <c r="G123" s="126"/>
      <c r="H123" s="131"/>
      <c r="I123" s="96">
        <f>IF(INDEX('参加者データ（要入力）'!$B$3:$O$102,60,11)="","",INDEX('参加者データ（要入力）'!$B$3:$O$102,60,11))</f>
      </c>
      <c r="J123" s="86" t="s">
        <v>96</v>
      </c>
      <c r="K123" s="97">
        <f>IF(INDEX('参加者データ（要入力）'!$B$3:$O$102,60,6)="","",INDEX('参加者データ（要入力）'!$B$3:$O$102,60,6))</f>
      </c>
      <c r="L123" s="87" t="s">
        <v>97</v>
      </c>
      <c r="M123" s="98">
        <f>IF(INDEX('参加者データ（要入力）'!$B$3:$O$102,60,8)="","",INDEX('参加者データ（要入力）'!$B$3:$O$102,60,8))</f>
      </c>
      <c r="N123" s="95">
        <f>IF(INDEX('参加者データ（要入力）'!$B$3:$O$102,60,12)="","",INDEX('参加者データ（要入力）'!$B$3:$O$102,60,12))</f>
      </c>
      <c r="O123" s="283">
        <f>IF(INDEX('参加者データ（要入力）'!$B$3:$P$102,60,14)="","",INDEX('参加者データ（要入力）'!$B$3:$P$102,60,14))</f>
      </c>
      <c r="P123" s="285">
        <f>IF(INDEX('参加者データ（要入力）'!$B$3:$P$102,60,15)="","",INDEX('参加者データ（要入力）'!$B$3:$P$102,60,15))</f>
      </c>
      <c r="Q123" s="286"/>
      <c r="R123" s="287"/>
    </row>
    <row r="124" spans="1:18" ht="31.5" customHeight="1">
      <c r="A124" s="279"/>
      <c r="B124" s="117">
        <f>IF(INDEX('参加者データ（要入力）'!$B$3:$O$102,60,1)="","",INDEX('参加者データ（要入力）'!$B$3:$O$102,60,1))</f>
      </c>
      <c r="C124" s="237"/>
      <c r="D124" s="237"/>
      <c r="E124" s="122">
        <f>IF(INDEX('参加者データ（要入力）'!$B$3:$O$102,60,5)="","",INDEX('参加者データ（要入力）'!$B$3:$O$102,60,5))</f>
      </c>
      <c r="F124" s="275"/>
      <c r="G124" s="127" t="s">
        <v>98</v>
      </c>
      <c r="H124" s="132">
        <f>IF(AND(C123="女",F123="A"),"尼","")</f>
      </c>
      <c r="I124" s="176">
        <f>IF(INDEX('参加者データ（要入力）'!$B$3:$O$102,60,10)="","",INDEX('参加者データ（要入力）'!$B$3:$O$102,60,10))</f>
      </c>
      <c r="J124" s="276">
        <f>IF(INDEX('参加者データ（要入力）'!$B$3:$O$102,60,7)="","",INDEX('参加者データ（要入力）'!$B$3:$O$102,60,7))</f>
      </c>
      <c r="K124" s="277" t="str">
        <f>INDEX('参加者データ（要入力）'!$B$2:$O$102,1,6)</f>
        <v>600-8308</v>
      </c>
      <c r="L124" s="277" t="str">
        <f>INDEX('参加者データ（要入力）'!$B$2:$O$102,1,6)</f>
        <v>600-8308</v>
      </c>
      <c r="M124" s="278" t="str">
        <f>INDEX('参加者データ（要入力）'!$B$2:$O$102,1,6)</f>
        <v>600-8308</v>
      </c>
      <c r="N124" s="99">
        <f>IF(INDEX('参加者データ（要入力）'!$B$3:$O$102,60,13)="","",INDEX('参加者データ（要入力）'!$B$3:$O$102,60,13))</f>
      </c>
      <c r="O124" s="284"/>
      <c r="P124" s="288"/>
      <c r="Q124" s="289"/>
      <c r="R124" s="290"/>
    </row>
    <row r="125" spans="1:18" ht="19.5" customHeight="1">
      <c r="A125" s="279">
        <v>61</v>
      </c>
      <c r="B125" s="118">
        <f>IF(INDEX('参加者データ（要入力）'!$B$3:$O$102,61,2)="","",INDEX('参加者データ（要入力）'!$B$3:$O$102,61,2))</f>
      </c>
      <c r="C125" s="280">
        <f>IF(INDEX('参加者データ（要入力）'!$B$3:$O$102,61,3)="","",INDEX('参加者データ（要入力）'!$B$3:$O$102,61,3))</f>
      </c>
      <c r="D125" s="237">
        <f>IF(INDEX('参加者データ（要入力）'!$B$3:$O$102,61,4)="","",INDEX('参加者データ（要入力）'!$B$3:$O$102,61,4))</f>
      </c>
      <c r="E125" s="121">
        <f>IF(INDEX('参加者データ（要入力）'!$B$3:$O$102,61,5)="","",INDEX('参加者データ（要入力）'!$B$3:$O$102,61,5))</f>
      </c>
      <c r="F125" s="274">
        <f>IF(INDEX('参加者データ（要入力）'!$B$3:$O$102,61,9)="","",INDEX('参加者データ（要入力）'!$B$3:$O$102,61,9))</f>
      </c>
      <c r="G125" s="126"/>
      <c r="H125" s="131"/>
      <c r="I125" s="96">
        <f>IF(INDEX('参加者データ（要入力）'!$B$3:$O$102,61,11)="","",INDEX('参加者データ（要入力）'!$B$3:$O$102,61,11))</f>
      </c>
      <c r="J125" s="86" t="s">
        <v>96</v>
      </c>
      <c r="K125" s="97">
        <f>IF(INDEX('参加者データ（要入力）'!$B$3:$O$102,61,6)="","",INDEX('参加者データ（要入力）'!$B$3:$O$102,61,6))</f>
      </c>
      <c r="L125" s="87" t="s">
        <v>97</v>
      </c>
      <c r="M125" s="98">
        <f>IF(INDEX('参加者データ（要入力）'!$B$3:$O$102,61,8)="","",INDEX('参加者データ（要入力）'!$B$3:$O$102,61,8))</f>
      </c>
      <c r="N125" s="95">
        <f>IF(INDEX('参加者データ（要入力）'!$B$3:$O$102,61,12)="","",INDEX('参加者データ（要入力）'!$B$3:$O$102,61,12))</f>
      </c>
      <c r="O125" s="283">
        <f>IF(INDEX('参加者データ（要入力）'!$B$3:$P$102,61,14)="","",INDEX('参加者データ（要入力）'!$B$3:$P$102,61,14))</f>
      </c>
      <c r="P125" s="285">
        <f>IF(INDEX('参加者データ（要入力）'!$B$3:$P$102,61,15)="","",INDEX('参加者データ（要入力）'!$B$3:$P$102,61,15))</f>
      </c>
      <c r="Q125" s="286"/>
      <c r="R125" s="287"/>
    </row>
    <row r="126" spans="1:18" ht="31.5" customHeight="1">
      <c r="A126" s="279"/>
      <c r="B126" s="117">
        <f>IF(INDEX('参加者データ（要入力）'!$B$3:$O$102,61,1)="","",INDEX('参加者データ（要入力）'!$B$3:$O$102,61,1))</f>
      </c>
      <c r="C126" s="237"/>
      <c r="D126" s="237"/>
      <c r="E126" s="124">
        <f>IF(INDEX('参加者データ（要入力）'!$B$3:$O$102,61,5)="","",INDEX('参加者データ（要入力）'!$B$3:$O$102,61,5))</f>
      </c>
      <c r="F126" s="275"/>
      <c r="G126" s="127" t="s">
        <v>98</v>
      </c>
      <c r="H126" s="132">
        <f>IF(AND(C125="女",F125="A"),"尼","")</f>
      </c>
      <c r="I126" s="176">
        <f>IF(INDEX('参加者データ（要入力）'!$B$3:$O$102,61,10)="","",INDEX('参加者データ（要入力）'!$B$3:$O$102,61,10))</f>
      </c>
      <c r="J126" s="276">
        <f>IF(INDEX('参加者データ（要入力）'!$B$3:$O$102,61,7)="","",INDEX('参加者データ（要入力）'!$B$3:$O$102,61,7))</f>
      </c>
      <c r="K126" s="277" t="str">
        <f>INDEX('参加者データ（要入力）'!$B$2:$O$102,1,6)</f>
        <v>600-8308</v>
      </c>
      <c r="L126" s="277" t="str">
        <f>INDEX('参加者データ（要入力）'!$B$2:$O$102,1,6)</f>
        <v>600-8308</v>
      </c>
      <c r="M126" s="278" t="str">
        <f>INDEX('参加者データ（要入力）'!$B$2:$O$102,1,6)</f>
        <v>600-8308</v>
      </c>
      <c r="N126" s="99">
        <f>IF(INDEX('参加者データ（要入力）'!$B$3:$O$102,61,13)="","",INDEX('参加者データ（要入力）'!$B$3:$O$102,61,13))</f>
      </c>
      <c r="O126" s="284"/>
      <c r="P126" s="288"/>
      <c r="Q126" s="289"/>
      <c r="R126" s="290"/>
    </row>
    <row r="127" spans="1:18" ht="19.5" customHeight="1">
      <c r="A127" s="279">
        <v>62</v>
      </c>
      <c r="B127" s="118">
        <f>IF(INDEX('参加者データ（要入力）'!$B$3:$O$102,62,2)="","",INDEX('参加者データ（要入力）'!$B$3:$O$102,62,2))</f>
      </c>
      <c r="C127" s="280">
        <f>IF(INDEX('参加者データ（要入力）'!$B$3:$O$102,62,3)="","",INDEX('参加者データ（要入力）'!$B$3:$O$102,62,3))</f>
      </c>
      <c r="D127" s="280">
        <f>IF(INDEX('参加者データ（要入力）'!$B$3:$O$102,62,4)="","",INDEX('参加者データ（要入力）'!$B$3:$O$102,62,4))</f>
      </c>
      <c r="E127" s="121">
        <f>IF(INDEX('参加者データ（要入力）'!$B$3:$O$102,62,5)="","",INDEX('参加者データ（要入力）'!$B$3:$O$102,62,5))</f>
      </c>
      <c r="F127" s="274">
        <f>IF(INDEX('参加者データ（要入力）'!$B$3:$O$102,62,9)="","",INDEX('参加者データ（要入力）'!$B$3:$O$102,62,9))</f>
      </c>
      <c r="G127" s="126"/>
      <c r="H127" s="131"/>
      <c r="I127" s="96">
        <f>IF(INDEX('参加者データ（要入力）'!$B$3:$O$102,62,11)="","",INDEX('参加者データ（要入力）'!$B$3:$O$102,62,11))</f>
      </c>
      <c r="J127" s="86" t="s">
        <v>96</v>
      </c>
      <c r="K127" s="97">
        <f>IF(INDEX('参加者データ（要入力）'!$B$3:$O$102,62,6)="","",INDEX('参加者データ（要入力）'!$B$3:$O$102,62,6))</f>
      </c>
      <c r="L127" s="87" t="s">
        <v>97</v>
      </c>
      <c r="M127" s="98">
        <f>IF(INDEX('参加者データ（要入力）'!$B$3:$O$102,62,8)="","",INDEX('参加者データ（要入力）'!$B$3:$O$102,62,8))</f>
      </c>
      <c r="N127" s="95">
        <f>IF(INDEX('参加者データ（要入力）'!$B$3:$O$102,62,12)="","",INDEX('参加者データ（要入力）'!$B$3:$O$102,62,12))</f>
      </c>
      <c r="O127" s="283">
        <f>IF(INDEX('参加者データ（要入力）'!$B$3:$P$102,62,14)="","",INDEX('参加者データ（要入力）'!$B$3:$P$102,62,14))</f>
      </c>
      <c r="P127" s="285">
        <f>IF(INDEX('参加者データ（要入力）'!$B$3:$P$102,62,15)="","",INDEX('参加者データ（要入力）'!$B$3:$P$102,62,15))</f>
      </c>
      <c r="Q127" s="286"/>
      <c r="R127" s="287"/>
    </row>
    <row r="128" spans="1:18" ht="31.5" customHeight="1">
      <c r="A128" s="279"/>
      <c r="B128" s="117">
        <f>IF(INDEX('参加者データ（要入力）'!$B$3:$O$102,62,1)="","",INDEX('参加者データ（要入力）'!$B$3:$O$102,62,1))</f>
      </c>
      <c r="C128" s="237"/>
      <c r="D128" s="237"/>
      <c r="E128" s="124">
        <f>IF(INDEX('参加者データ（要入力）'!$B$3:$O$102,62,5)="","",INDEX('参加者データ（要入力）'!$B$3:$O$102,62,5))</f>
      </c>
      <c r="F128" s="275"/>
      <c r="G128" s="127" t="s">
        <v>98</v>
      </c>
      <c r="H128" s="132">
        <f>IF(AND(C127="女",F127="A"),"尼","")</f>
      </c>
      <c r="I128" s="176">
        <f>IF(INDEX('参加者データ（要入力）'!$B$3:$O$102,62,10)="","",INDEX('参加者データ（要入力）'!$B$3:$O$102,62,10))</f>
      </c>
      <c r="J128" s="276">
        <f>IF(INDEX('参加者データ（要入力）'!$B$3:$O$102,62,7)="","",INDEX('参加者データ（要入力）'!$B$3:$O$102,62,7))</f>
      </c>
      <c r="K128" s="277" t="str">
        <f>INDEX('参加者データ（要入力）'!$B$2:$O$102,1,6)</f>
        <v>600-8308</v>
      </c>
      <c r="L128" s="277" t="str">
        <f>INDEX('参加者データ（要入力）'!$B$2:$O$102,1,6)</f>
        <v>600-8308</v>
      </c>
      <c r="M128" s="278" t="str">
        <f>INDEX('参加者データ（要入力）'!$B$2:$O$102,1,6)</f>
        <v>600-8308</v>
      </c>
      <c r="N128" s="99">
        <f>IF(INDEX('参加者データ（要入力）'!$B$3:$O$102,62,13)="","",INDEX('参加者データ（要入力）'!$B$3:$O$102,62,13))</f>
      </c>
      <c r="O128" s="284"/>
      <c r="P128" s="288"/>
      <c r="Q128" s="289"/>
      <c r="R128" s="290"/>
    </row>
    <row r="129" spans="1:18" ht="19.5" customHeight="1">
      <c r="A129" s="279">
        <v>63</v>
      </c>
      <c r="B129" s="118">
        <f>IF(INDEX('参加者データ（要入力）'!$B$3:$O$102,63,2)="","",INDEX('参加者データ（要入力）'!$B$3:$O$102,63,2))</f>
      </c>
      <c r="C129" s="280">
        <f>IF(INDEX('参加者データ（要入力）'!$B$3:$O$102,63,3)="","",INDEX('参加者データ（要入力）'!$B$3:$O$102,63,3))</f>
      </c>
      <c r="D129" s="237">
        <f>IF(INDEX('参加者データ（要入力）'!$B$3:$O$102,63,4)="","",INDEX('参加者データ（要入力）'!$B$3:$O$102,63,4))</f>
      </c>
      <c r="E129" s="121">
        <f>IF(INDEX('参加者データ（要入力）'!$B$3:$O$102,63,5)="","",INDEX('参加者データ（要入力）'!$B$3:$O$102,63,5))</f>
      </c>
      <c r="F129" s="274">
        <f>IF(INDEX('参加者データ（要入力）'!$B$3:$O$102,63,9)="","",INDEX('参加者データ（要入力）'!$B$3:$O$102,63,9))</f>
      </c>
      <c r="G129" s="126"/>
      <c r="H129" s="131"/>
      <c r="I129" s="96">
        <f>IF(INDEX('参加者データ（要入力）'!$B$3:$O$102,63,11)="","",INDEX('参加者データ（要入力）'!$B$3:$O$102,63,11))</f>
      </c>
      <c r="J129" s="86" t="s">
        <v>96</v>
      </c>
      <c r="K129" s="97">
        <f>IF(INDEX('参加者データ（要入力）'!$B$3:$O$102,63,6)="","",INDEX('参加者データ（要入力）'!$B$3:$O$102,63,6))</f>
      </c>
      <c r="L129" s="87" t="s">
        <v>97</v>
      </c>
      <c r="M129" s="98">
        <f>IF(INDEX('参加者データ（要入力）'!$B$3:$O$102,63,8)="","",INDEX('参加者データ（要入力）'!$B$3:$O$102,63,8))</f>
      </c>
      <c r="N129" s="95">
        <f>IF(INDEX('参加者データ（要入力）'!$B$3:$O$102,63,12)="","",INDEX('参加者データ（要入力）'!$B$3:$O$102,63,12))</f>
      </c>
      <c r="O129" s="283">
        <f>IF(INDEX('参加者データ（要入力）'!$B$3:$P$102,63,14)="","",INDEX('参加者データ（要入力）'!$B$3:$P$102,63,14))</f>
      </c>
      <c r="P129" s="285">
        <f>IF(INDEX('参加者データ（要入力）'!$B$3:$P$102,63,15)="","",INDEX('参加者データ（要入力）'!$B$3:$P$102,63,15))</f>
      </c>
      <c r="Q129" s="286"/>
      <c r="R129" s="287"/>
    </row>
    <row r="130" spans="1:18" ht="31.5" customHeight="1">
      <c r="A130" s="279"/>
      <c r="B130" s="117">
        <f>IF(INDEX('参加者データ（要入力）'!$B$3:$O$102,63,1)="","",INDEX('参加者データ（要入力）'!$B$3:$O$102,63,1))</f>
      </c>
      <c r="C130" s="237"/>
      <c r="D130" s="237"/>
      <c r="E130" s="124">
        <f>IF(INDEX('参加者データ（要入力）'!$B$3:$O$102,63,5)="","",INDEX('参加者データ（要入力）'!$B$3:$O$102,63,5))</f>
      </c>
      <c r="F130" s="275"/>
      <c r="G130" s="127" t="s">
        <v>98</v>
      </c>
      <c r="H130" s="132">
        <f>IF(AND(C129="女",F129="A"),"尼","")</f>
      </c>
      <c r="I130" s="176">
        <f>IF(INDEX('参加者データ（要入力）'!$B$3:$O$102,63,10)="","",INDEX('参加者データ（要入力）'!$B$3:$O$102,63,10))</f>
      </c>
      <c r="J130" s="276">
        <f>IF(INDEX('参加者データ（要入力）'!$B$3:$O$102,63,7)="","",INDEX('参加者データ（要入力）'!$B$3:$O$102,63,7))</f>
      </c>
      <c r="K130" s="277" t="str">
        <f>INDEX('参加者データ（要入力）'!$B$2:$O$102,1,6)</f>
        <v>600-8308</v>
      </c>
      <c r="L130" s="277" t="str">
        <f>INDEX('参加者データ（要入力）'!$B$2:$O$102,1,6)</f>
        <v>600-8308</v>
      </c>
      <c r="M130" s="278" t="str">
        <f>INDEX('参加者データ（要入力）'!$B$2:$O$102,1,6)</f>
        <v>600-8308</v>
      </c>
      <c r="N130" s="99">
        <f>IF(INDEX('参加者データ（要入力）'!$B$3:$O$102,63,13)="","",INDEX('参加者データ（要入力）'!$B$3:$O$102,63,13))</f>
      </c>
      <c r="O130" s="284"/>
      <c r="P130" s="288"/>
      <c r="Q130" s="289"/>
      <c r="R130" s="290"/>
    </row>
    <row r="131" spans="1:18" ht="19.5" customHeight="1">
      <c r="A131" s="279">
        <v>64</v>
      </c>
      <c r="B131" s="118">
        <f>IF(INDEX('参加者データ（要入力）'!$B$3:$O$102,64,2)="","",INDEX('参加者データ（要入力）'!$B$3:$O$102,64,2))</f>
      </c>
      <c r="C131" s="280">
        <f>IF(INDEX('参加者データ（要入力）'!$B$3:$O$102,64,3)="","",INDEX('参加者データ（要入力）'!$B$3:$O$102,64,3))</f>
      </c>
      <c r="D131" s="280">
        <f>IF(INDEX('参加者データ（要入力）'!$B$3:$O$102,64,4)="","",INDEX('参加者データ（要入力）'!$B$3:$O$102,64,4))</f>
      </c>
      <c r="E131" s="121">
        <f>IF(INDEX('参加者データ（要入力）'!$B$3:$O$102,64,5)="","",INDEX('参加者データ（要入力）'!$B$3:$O$102,64,5))</f>
      </c>
      <c r="F131" s="274">
        <f>IF(INDEX('参加者データ（要入力）'!$B$3:$O$102,64,9)="","",INDEX('参加者データ（要入力）'!$B$3:$O$102,64,9))</f>
      </c>
      <c r="G131" s="126"/>
      <c r="H131" s="131"/>
      <c r="I131" s="96">
        <f>IF(INDEX('参加者データ（要入力）'!$B$3:$O$102,64,11)="","",INDEX('参加者データ（要入力）'!$B$3:$O$102,64,11))</f>
      </c>
      <c r="J131" s="86" t="s">
        <v>96</v>
      </c>
      <c r="K131" s="97">
        <f>IF(INDEX('参加者データ（要入力）'!$B$3:$O$102,64,6)="","",INDEX('参加者データ（要入力）'!$B$3:$O$102,64,6))</f>
      </c>
      <c r="L131" s="87" t="s">
        <v>97</v>
      </c>
      <c r="M131" s="98">
        <f>IF(INDEX('参加者データ（要入力）'!$B$3:$O$102,64,8)="","",INDEX('参加者データ（要入力）'!$B$3:$O$102,64,8))</f>
      </c>
      <c r="N131" s="95">
        <f>IF(INDEX('参加者データ（要入力）'!$B$3:$O$102,64,12)="","",INDEX('参加者データ（要入力）'!$B$3:$O$102,64,12))</f>
      </c>
      <c r="O131" s="283">
        <f>IF(INDEX('参加者データ（要入力）'!$B$3:$P$102,64,14)="","",INDEX('参加者データ（要入力）'!$B$3:$P$102,64,14))</f>
      </c>
      <c r="P131" s="285">
        <f>IF(INDEX('参加者データ（要入力）'!$B$3:$P$102,64,15)="","",INDEX('参加者データ（要入力）'!$B$3:$P$102,64,15))</f>
      </c>
      <c r="Q131" s="286"/>
      <c r="R131" s="287"/>
    </row>
    <row r="132" spans="1:18" ht="31.5" customHeight="1">
      <c r="A132" s="279"/>
      <c r="B132" s="117">
        <f>IF(INDEX('参加者データ（要入力）'!$B$3:$O$102,64,1)="","",INDEX('参加者データ（要入力）'!$B$3:$O$102,64,1))</f>
      </c>
      <c r="C132" s="237"/>
      <c r="D132" s="237"/>
      <c r="E132" s="124">
        <f>IF(INDEX('参加者データ（要入力）'!$B$3:$O$102,64,5)="","",INDEX('参加者データ（要入力）'!$B$3:$O$102,64,5))</f>
      </c>
      <c r="F132" s="275"/>
      <c r="G132" s="127" t="s">
        <v>98</v>
      </c>
      <c r="H132" s="132">
        <f>IF(AND(C131="女",F131="A"),"尼","")</f>
      </c>
      <c r="I132" s="176">
        <f>IF(INDEX('参加者データ（要入力）'!$B$3:$O$102,64,10)="","",INDEX('参加者データ（要入力）'!$B$3:$O$102,64,10))</f>
      </c>
      <c r="J132" s="276">
        <f>IF(INDEX('参加者データ（要入力）'!$B$3:$O$102,64,7)="","",INDEX('参加者データ（要入力）'!$B$3:$O$102,64,7))</f>
      </c>
      <c r="K132" s="277" t="str">
        <f>INDEX('参加者データ（要入力）'!$B$2:$O$102,1,6)</f>
        <v>600-8308</v>
      </c>
      <c r="L132" s="277" t="str">
        <f>INDEX('参加者データ（要入力）'!$B$2:$O$102,1,6)</f>
        <v>600-8308</v>
      </c>
      <c r="M132" s="278" t="str">
        <f>INDEX('参加者データ（要入力）'!$B$2:$O$102,1,6)</f>
        <v>600-8308</v>
      </c>
      <c r="N132" s="99">
        <f>IF(INDEX('参加者データ（要入力）'!$B$3:$O$102,64,13)="","",INDEX('参加者データ（要入力）'!$B$3:$O$102,64,13))</f>
      </c>
      <c r="O132" s="284"/>
      <c r="P132" s="288"/>
      <c r="Q132" s="289"/>
      <c r="R132" s="290"/>
    </row>
    <row r="133" spans="1:18" ht="19.5" customHeight="1">
      <c r="A133" s="279">
        <v>65</v>
      </c>
      <c r="B133" s="118">
        <f>IF(INDEX('参加者データ（要入力）'!$B$3:$O$102,65,2)="","",INDEX('参加者データ（要入力）'!$B$3:$O$102,65,2))</f>
      </c>
      <c r="C133" s="280">
        <f>IF(INDEX('参加者データ（要入力）'!$B$3:$O$102,65,3)="","",INDEX('参加者データ（要入力）'!$B$3:$O$102,65,3))</f>
      </c>
      <c r="D133" s="237">
        <f>IF(INDEX('参加者データ（要入力）'!$B$3:$O$102,65,4)="","",INDEX('参加者データ（要入力）'!$B$3:$O$102,65,4))</f>
      </c>
      <c r="E133" s="121">
        <f>IF(INDEX('参加者データ（要入力）'!$B$3:$O$102,65,5)="","",INDEX('参加者データ（要入力）'!$B$3:$O$102,65,5))</f>
      </c>
      <c r="F133" s="274">
        <f>IF(INDEX('参加者データ（要入力）'!$B$3:$O$102,65,9)="","",INDEX('参加者データ（要入力）'!$B$3:$O$102,65,9))</f>
      </c>
      <c r="G133" s="126"/>
      <c r="H133" s="131"/>
      <c r="I133" s="96">
        <f>IF(INDEX('参加者データ（要入力）'!$B$3:$O$102,65,11)="","",INDEX('参加者データ（要入力）'!$B$3:$O$102,65,11))</f>
      </c>
      <c r="J133" s="86" t="s">
        <v>96</v>
      </c>
      <c r="K133" s="97">
        <f>IF(INDEX('参加者データ（要入力）'!$B$3:$O$102,65,6)="","",INDEX('参加者データ（要入力）'!$B$3:$O$102,65,6))</f>
      </c>
      <c r="L133" s="87" t="s">
        <v>97</v>
      </c>
      <c r="M133" s="98">
        <f>IF(INDEX('参加者データ（要入力）'!$B$3:$O$102,65,8)="","",INDEX('参加者データ（要入力）'!$B$3:$O$102,65,8))</f>
      </c>
      <c r="N133" s="95">
        <f>IF(INDEX('参加者データ（要入力）'!$B$3:$O$102,65,12)="","",INDEX('参加者データ（要入力）'!$B$3:$O$102,65,12))</f>
      </c>
      <c r="O133" s="283">
        <f>IF(INDEX('参加者データ（要入力）'!$B$3:$P$102,65,14)="","",INDEX('参加者データ（要入力）'!$B$3:$P$102,65,14))</f>
      </c>
      <c r="P133" s="285">
        <f>IF(INDEX('参加者データ（要入力）'!$B$3:$P$102,65,15)="","",INDEX('参加者データ（要入力）'!$B$3:$P$102,65,15))</f>
      </c>
      <c r="Q133" s="286"/>
      <c r="R133" s="287"/>
    </row>
    <row r="134" spans="1:18" ht="31.5" customHeight="1">
      <c r="A134" s="279"/>
      <c r="B134" s="117">
        <f>IF(INDEX('参加者データ（要入力）'!$B$3:$O$102,65,1)="","",INDEX('参加者データ（要入力）'!$B$3:$O$102,65,1))</f>
      </c>
      <c r="C134" s="237"/>
      <c r="D134" s="237"/>
      <c r="E134" s="124">
        <f>IF(INDEX('参加者データ（要入力）'!$B$3:$O$102,65,5)="","",INDEX('参加者データ（要入力）'!$B$3:$O$102,65,5))</f>
      </c>
      <c r="F134" s="275"/>
      <c r="G134" s="127" t="s">
        <v>98</v>
      </c>
      <c r="H134" s="132">
        <f>IF(AND(C133="女",F133="A"),"尼","")</f>
      </c>
      <c r="I134" s="176">
        <f>IF(INDEX('参加者データ（要入力）'!$B$3:$O$102,65,10)="","",INDEX('参加者データ（要入力）'!$B$3:$O$102,65,10))</f>
      </c>
      <c r="J134" s="276">
        <f>IF(INDEX('参加者データ（要入力）'!$B$3:$O$102,65,7)="","",INDEX('参加者データ（要入力）'!$B$3:$O$102,65,7))</f>
      </c>
      <c r="K134" s="277" t="str">
        <f>INDEX('参加者データ（要入力）'!$B$2:$O$102,1,6)</f>
        <v>600-8308</v>
      </c>
      <c r="L134" s="277" t="str">
        <f>INDEX('参加者データ（要入力）'!$B$2:$O$102,1,6)</f>
        <v>600-8308</v>
      </c>
      <c r="M134" s="278" t="str">
        <f>INDEX('参加者データ（要入力）'!$B$2:$O$102,1,6)</f>
        <v>600-8308</v>
      </c>
      <c r="N134" s="99">
        <f>IF(INDEX('参加者データ（要入力）'!$B$3:$O$102,65,13)="","",INDEX('参加者データ（要入力）'!$B$3:$O$102,65,13))</f>
      </c>
      <c r="O134" s="284"/>
      <c r="P134" s="288"/>
      <c r="Q134" s="289"/>
      <c r="R134" s="290"/>
    </row>
    <row r="135" spans="1:18" ht="19.5" customHeight="1">
      <c r="A135" s="279">
        <v>66</v>
      </c>
      <c r="B135" s="118">
        <f>IF(INDEX('参加者データ（要入力）'!$B$3:$O$102,66,2)="","",INDEX('参加者データ（要入力）'!$B$3:$O$102,66,2))</f>
      </c>
      <c r="C135" s="280">
        <f>IF(INDEX('参加者データ（要入力）'!$B$3:$O$102,66,3)="","",INDEX('参加者データ（要入力）'!$B$3:$O$102,66,3))</f>
      </c>
      <c r="D135" s="280">
        <f>IF(INDEX('参加者データ（要入力）'!$B$3:$O$102,66,4)="","",INDEX('参加者データ（要入力）'!$B$3:$O$102,66,4))</f>
      </c>
      <c r="E135" s="121">
        <f>IF(INDEX('参加者データ（要入力）'!$B$3:$O$102,66,5)="","",INDEX('参加者データ（要入力）'!$B$3:$O$102,66,5))</f>
      </c>
      <c r="F135" s="274">
        <f>IF(INDEX('参加者データ（要入力）'!$B$3:$O$102,66,9)="","",INDEX('参加者データ（要入力）'!$B$3:$O$102,66,9))</f>
      </c>
      <c r="G135" s="126"/>
      <c r="H135" s="131"/>
      <c r="I135" s="96">
        <f>IF(INDEX('参加者データ（要入力）'!$B$3:$O$102,66,11)="","",INDEX('参加者データ（要入力）'!$B$3:$O$102,66,11))</f>
      </c>
      <c r="J135" s="86" t="s">
        <v>96</v>
      </c>
      <c r="K135" s="97">
        <f>IF(INDEX('参加者データ（要入力）'!$B$3:$O$102,66,6)="","",INDEX('参加者データ（要入力）'!$B$3:$O$102,66,6))</f>
      </c>
      <c r="L135" s="87" t="s">
        <v>97</v>
      </c>
      <c r="M135" s="98">
        <f>IF(INDEX('参加者データ（要入力）'!$B$3:$O$102,66,8)="","",INDEX('参加者データ（要入力）'!$B$3:$O$102,66,8))</f>
      </c>
      <c r="N135" s="95">
        <f>IF(INDEX('参加者データ（要入力）'!$B$3:$O$102,66,12)="","",INDEX('参加者データ（要入力）'!$B$3:$O$102,66,12))</f>
      </c>
      <c r="O135" s="283">
        <f>IF(INDEX('参加者データ（要入力）'!$B$3:$P$102,66,14)="","",INDEX('参加者データ（要入力）'!$B$3:$P$102,66,14))</f>
      </c>
      <c r="P135" s="285">
        <f>IF(INDEX('参加者データ（要入力）'!$B$3:$P$102,66,15)="","",INDEX('参加者データ（要入力）'!$B$3:$P$102,66,15))</f>
      </c>
      <c r="Q135" s="286"/>
      <c r="R135" s="287"/>
    </row>
    <row r="136" spans="1:18" ht="31.5" customHeight="1">
      <c r="A136" s="279"/>
      <c r="B136" s="117">
        <f>IF(INDEX('参加者データ（要入力）'!$B$3:$O$102,66,1)="","",INDEX('参加者データ（要入力）'!$B$3:$O$102,66,1))</f>
      </c>
      <c r="C136" s="237"/>
      <c r="D136" s="237"/>
      <c r="E136" s="124">
        <f>IF(INDEX('参加者データ（要入力）'!$B$3:$O$102,66,5)="","",INDEX('参加者データ（要入力）'!$B$3:$O$102,66,5))</f>
      </c>
      <c r="F136" s="275"/>
      <c r="G136" s="127" t="s">
        <v>98</v>
      </c>
      <c r="H136" s="132">
        <f>IF(AND(C135="女",F135="A"),"尼","")</f>
      </c>
      <c r="I136" s="176">
        <f>IF(INDEX('参加者データ（要入力）'!$B$3:$O$102,66,10)="","",INDEX('参加者データ（要入力）'!$B$3:$O$102,66,10))</f>
      </c>
      <c r="J136" s="276">
        <f>IF(INDEX('参加者データ（要入力）'!$B$3:$O$102,66,7)="","",INDEX('参加者データ（要入力）'!$B$3:$O$102,66,7))</f>
      </c>
      <c r="K136" s="277" t="str">
        <f>INDEX('参加者データ（要入力）'!$B$2:$O$102,1,6)</f>
        <v>600-8308</v>
      </c>
      <c r="L136" s="277" t="str">
        <f>INDEX('参加者データ（要入力）'!$B$2:$O$102,1,6)</f>
        <v>600-8308</v>
      </c>
      <c r="M136" s="278" t="str">
        <f>INDEX('参加者データ（要入力）'!$B$2:$O$102,1,6)</f>
        <v>600-8308</v>
      </c>
      <c r="N136" s="99">
        <f>IF(INDEX('参加者データ（要入力）'!$B$3:$O$102,66,13)="","",INDEX('参加者データ（要入力）'!$B$3:$O$102,66,13))</f>
      </c>
      <c r="O136" s="284"/>
      <c r="P136" s="288"/>
      <c r="Q136" s="289"/>
      <c r="R136" s="290"/>
    </row>
    <row r="137" spans="1:18" ht="19.5" customHeight="1">
      <c r="A137" s="279">
        <v>67</v>
      </c>
      <c r="B137" s="118">
        <f>IF(INDEX('参加者データ（要入力）'!$B$3:$O$102,67,2)="","",INDEX('参加者データ（要入力）'!$B$3:$O$102,67,2))</f>
      </c>
      <c r="C137" s="280">
        <f>IF(INDEX('参加者データ（要入力）'!$B$3:$O$102,67,3)="","",INDEX('参加者データ（要入力）'!$B$3:$O$102,67,3))</f>
      </c>
      <c r="D137" s="237">
        <f>IF(INDEX('参加者データ（要入力）'!$B$3:$O$102,67,4)="","",INDEX('参加者データ（要入力）'!$B$3:$O$102,67,4))</f>
      </c>
      <c r="E137" s="121">
        <f>IF(INDEX('参加者データ（要入力）'!$B$3:$O$102,67,5)="","",INDEX('参加者データ（要入力）'!$B$3:$O$102,67,5))</f>
      </c>
      <c r="F137" s="274">
        <f>IF(INDEX('参加者データ（要入力）'!$B$3:$O$102,67,9)="","",INDEX('参加者データ（要入力）'!$B$3:$O$102,67,9))</f>
      </c>
      <c r="G137" s="126"/>
      <c r="H137" s="131"/>
      <c r="I137" s="96">
        <f>IF(INDEX('参加者データ（要入力）'!$B$3:$O$102,67,11)="","",INDEX('参加者データ（要入力）'!$B$3:$O$102,67,11))</f>
      </c>
      <c r="J137" s="86" t="s">
        <v>96</v>
      </c>
      <c r="K137" s="97">
        <f>IF(INDEX('参加者データ（要入力）'!$B$3:$O$102,67,6)="","",INDEX('参加者データ（要入力）'!$B$3:$O$102,67,6))</f>
      </c>
      <c r="L137" s="87" t="s">
        <v>97</v>
      </c>
      <c r="M137" s="98">
        <f>IF(INDEX('参加者データ（要入力）'!$B$3:$O$102,67,8)="","",INDEX('参加者データ（要入力）'!$B$3:$O$102,67,8))</f>
      </c>
      <c r="N137" s="95">
        <f>IF(INDEX('参加者データ（要入力）'!$B$3:$O$102,67,12)="","",INDEX('参加者データ（要入力）'!$B$3:$O$102,67,12))</f>
      </c>
      <c r="O137" s="283">
        <f>IF(INDEX('参加者データ（要入力）'!$B$3:$P$102,67,14)="","",INDEX('参加者データ（要入力）'!$B$3:$P$102,67,14))</f>
      </c>
      <c r="P137" s="285">
        <f>IF(INDEX('参加者データ（要入力）'!$B$3:$P$102,67,15)="","",INDEX('参加者データ（要入力）'!$B$3:$P$102,67,15))</f>
      </c>
      <c r="Q137" s="286"/>
      <c r="R137" s="287"/>
    </row>
    <row r="138" spans="1:18" ht="31.5" customHeight="1">
      <c r="A138" s="279"/>
      <c r="B138" s="117">
        <f>IF(INDEX('参加者データ（要入力）'!$B$3:$O$102,67,1)="","",INDEX('参加者データ（要入力）'!$B$3:$O$102,67,1))</f>
      </c>
      <c r="C138" s="237"/>
      <c r="D138" s="237"/>
      <c r="E138" s="124">
        <f>IF(INDEX('参加者データ（要入力）'!$B$3:$O$102,67,5)="","",INDEX('参加者データ（要入力）'!$B$3:$O$102,67,5))</f>
      </c>
      <c r="F138" s="275"/>
      <c r="G138" s="127" t="s">
        <v>98</v>
      </c>
      <c r="H138" s="132">
        <f>IF(AND(C137="女",F137="A"),"尼","")</f>
      </c>
      <c r="I138" s="176">
        <f>IF(INDEX('参加者データ（要入力）'!$B$3:$O$102,67,10)="","",INDEX('参加者データ（要入力）'!$B$3:$O$102,67,10))</f>
      </c>
      <c r="J138" s="276">
        <f>IF(INDEX('参加者データ（要入力）'!$B$3:$O$102,67,7)="","",INDEX('参加者データ（要入力）'!$B$3:$O$102,67,7))</f>
      </c>
      <c r="K138" s="277" t="str">
        <f>INDEX('参加者データ（要入力）'!$B$2:$O$102,1,6)</f>
        <v>600-8308</v>
      </c>
      <c r="L138" s="277" t="str">
        <f>INDEX('参加者データ（要入力）'!$B$2:$O$102,1,6)</f>
        <v>600-8308</v>
      </c>
      <c r="M138" s="278" t="str">
        <f>INDEX('参加者データ（要入力）'!$B$2:$O$102,1,6)</f>
        <v>600-8308</v>
      </c>
      <c r="N138" s="99">
        <f>IF(INDEX('参加者データ（要入力）'!$B$3:$O$102,67,13)="","",INDEX('参加者データ（要入力）'!$B$3:$O$102,67,13))</f>
      </c>
      <c r="O138" s="284"/>
      <c r="P138" s="288"/>
      <c r="Q138" s="289"/>
      <c r="R138" s="290"/>
    </row>
    <row r="139" spans="1:18" ht="19.5" customHeight="1">
      <c r="A139" s="279">
        <v>68</v>
      </c>
      <c r="B139" s="118">
        <f>IF(INDEX('参加者データ（要入力）'!$B$3:$O$102,68,2)="","",INDEX('参加者データ（要入力）'!$B$3:$O$102,68,2))</f>
      </c>
      <c r="C139" s="280">
        <f>IF(INDEX('参加者データ（要入力）'!$B$3:$O$102,68,3)="","",INDEX('参加者データ（要入力）'!$B$3:$O$102,68,3))</f>
      </c>
      <c r="D139" s="280">
        <f>IF(INDEX('参加者データ（要入力）'!$B$3:$O$102,68,4)="","",INDEX('参加者データ（要入力）'!$B$3:$O$102,68,4))</f>
      </c>
      <c r="E139" s="121">
        <f>IF(INDEX('参加者データ（要入力）'!$B$3:$O$102,68,5)="","",INDEX('参加者データ（要入力）'!$B$3:$O$102,68,5))</f>
      </c>
      <c r="F139" s="274">
        <f>IF(INDEX('参加者データ（要入力）'!$B$3:$O$102,68,9)="","",INDEX('参加者データ（要入力）'!$B$3:$O$102,68,9))</f>
      </c>
      <c r="G139" s="126"/>
      <c r="H139" s="131"/>
      <c r="I139" s="96">
        <f>IF(INDEX('参加者データ（要入力）'!$B$3:$O$102,68,11)="","",INDEX('参加者データ（要入力）'!$B$3:$O$102,68,11))</f>
      </c>
      <c r="J139" s="86" t="s">
        <v>96</v>
      </c>
      <c r="K139" s="97">
        <f>IF(INDEX('参加者データ（要入力）'!$B$3:$O$102,68,6)="","",INDEX('参加者データ（要入力）'!$B$3:$O$102,68,6))</f>
      </c>
      <c r="L139" s="87" t="s">
        <v>97</v>
      </c>
      <c r="M139" s="98">
        <f>IF(INDEX('参加者データ（要入力）'!$B$3:$O$102,68,8)="","",INDEX('参加者データ（要入力）'!$B$3:$O$102,68,8))</f>
      </c>
      <c r="N139" s="95">
        <f>IF(INDEX('参加者データ（要入力）'!$B$3:$O$102,68,12)="","",INDEX('参加者データ（要入力）'!$B$3:$O$102,68,12))</f>
      </c>
      <c r="O139" s="283">
        <f>IF(INDEX('参加者データ（要入力）'!$B$3:$P$102,68,14)="","",INDEX('参加者データ（要入力）'!$B$3:$P$102,68,14))</f>
      </c>
      <c r="P139" s="285">
        <f>IF(INDEX('参加者データ（要入力）'!$B$3:$P$102,68,15)="","",INDEX('参加者データ（要入力）'!$B$3:$P$102,68,15))</f>
      </c>
      <c r="Q139" s="286"/>
      <c r="R139" s="287"/>
    </row>
    <row r="140" spans="1:18" ht="31.5" customHeight="1">
      <c r="A140" s="279"/>
      <c r="B140" s="117">
        <f>IF(INDEX('参加者データ（要入力）'!$B$3:$O$102,68,1)="","",INDEX('参加者データ（要入力）'!$B$3:$O$102,68,1))</f>
      </c>
      <c r="C140" s="237"/>
      <c r="D140" s="237"/>
      <c r="E140" s="124">
        <f>IF(INDEX('参加者データ（要入力）'!$B$3:$O$102,68,5)="","",INDEX('参加者データ（要入力）'!$B$3:$O$102,68,5))</f>
      </c>
      <c r="F140" s="275"/>
      <c r="G140" s="127" t="s">
        <v>98</v>
      </c>
      <c r="H140" s="132">
        <f>IF(AND(C139="女",F139="A"),"尼","")</f>
      </c>
      <c r="I140" s="176">
        <f>IF(INDEX('参加者データ（要入力）'!$B$3:$O$102,68,10)="","",INDEX('参加者データ（要入力）'!$B$3:$O$102,68,10))</f>
      </c>
      <c r="J140" s="276">
        <f>IF(INDEX('参加者データ（要入力）'!$B$3:$O$102,68,7)="","",INDEX('参加者データ（要入力）'!$B$3:$O$102,68,7))</f>
      </c>
      <c r="K140" s="277" t="str">
        <f>INDEX('参加者データ（要入力）'!$B$2:$O$102,1,6)</f>
        <v>600-8308</v>
      </c>
      <c r="L140" s="277" t="str">
        <f>INDEX('参加者データ（要入力）'!$B$2:$O$102,1,6)</f>
        <v>600-8308</v>
      </c>
      <c r="M140" s="278" t="str">
        <f>INDEX('参加者データ（要入力）'!$B$2:$O$102,1,6)</f>
        <v>600-8308</v>
      </c>
      <c r="N140" s="99">
        <f>IF(INDEX('参加者データ（要入力）'!$B$3:$O$102,68,13)="","",INDEX('参加者データ（要入力）'!$B$3:$O$102,68,13))</f>
      </c>
      <c r="O140" s="284"/>
      <c r="P140" s="288"/>
      <c r="Q140" s="289"/>
      <c r="R140" s="290"/>
    </row>
    <row r="141" spans="1:18" ht="19.5" customHeight="1">
      <c r="A141" s="279">
        <v>69</v>
      </c>
      <c r="B141" s="118">
        <f>IF(INDEX('参加者データ（要入力）'!$B$3:$O$102,69,2)="","",INDEX('参加者データ（要入力）'!$B$3:$O$102,69,2))</f>
      </c>
      <c r="C141" s="280">
        <f>IF(INDEX('参加者データ（要入力）'!$B$3:$O$102,69,3)="","",INDEX('参加者データ（要入力）'!$B$3:$O$102,69,3))</f>
      </c>
      <c r="D141" s="237">
        <f>IF(INDEX('参加者データ（要入力）'!$B$3:$O$102,69,4)="","",INDEX('参加者データ（要入力）'!$B$3:$O$102,69,4))</f>
      </c>
      <c r="E141" s="121">
        <f>IF(INDEX('参加者データ（要入力）'!$B$3:$O$102,69,5)="","",INDEX('参加者データ（要入力）'!$B$3:$O$102,69,5))</f>
      </c>
      <c r="F141" s="274">
        <f>IF(INDEX('参加者データ（要入力）'!$B$3:$O$102,69,9)="","",INDEX('参加者データ（要入力）'!$B$3:$O$102,69,9))</f>
      </c>
      <c r="G141" s="126"/>
      <c r="H141" s="131"/>
      <c r="I141" s="96">
        <f>IF(INDEX('参加者データ（要入力）'!$B$3:$O$102,69,11)="","",INDEX('参加者データ（要入力）'!$B$3:$O$102,69,11))</f>
      </c>
      <c r="J141" s="86" t="s">
        <v>96</v>
      </c>
      <c r="K141" s="97">
        <f>IF(INDEX('参加者データ（要入力）'!$B$3:$O$102,69,6)="","",INDEX('参加者データ（要入力）'!$B$3:$O$102,69,6))</f>
      </c>
      <c r="L141" s="87" t="s">
        <v>97</v>
      </c>
      <c r="M141" s="98">
        <f>IF(INDEX('参加者データ（要入力）'!$B$3:$O$102,69,8)="","",INDEX('参加者データ（要入力）'!$B$3:$O$102,69,8))</f>
      </c>
      <c r="N141" s="95">
        <f>IF(INDEX('参加者データ（要入力）'!$B$3:$O$102,69,12)="","",INDEX('参加者データ（要入力）'!$B$3:$O$102,69,12))</f>
      </c>
      <c r="O141" s="283">
        <f>IF(INDEX('参加者データ（要入力）'!$B$3:$P$102,69,14)="","",INDEX('参加者データ（要入力）'!$B$3:$P$102,69,14))</f>
      </c>
      <c r="P141" s="285">
        <f>IF(INDEX('参加者データ（要入力）'!$B$3:$P$102,69,15)="","",INDEX('参加者データ（要入力）'!$B$3:$P$102,69,15))</f>
      </c>
      <c r="Q141" s="286"/>
      <c r="R141" s="287"/>
    </row>
    <row r="142" spans="1:18" ht="31.5" customHeight="1">
      <c r="A142" s="279"/>
      <c r="B142" s="117">
        <f>IF(INDEX('参加者データ（要入力）'!$B$3:$O$102,69,1)="","",INDEX('参加者データ（要入力）'!$B$3:$O$102,69,1))</f>
      </c>
      <c r="C142" s="237"/>
      <c r="D142" s="237"/>
      <c r="E142" s="124">
        <f>IF(INDEX('参加者データ（要入力）'!$B$3:$O$102,69,5)="","",INDEX('参加者データ（要入力）'!$B$3:$O$102,69,5))</f>
      </c>
      <c r="F142" s="275"/>
      <c r="G142" s="127" t="s">
        <v>98</v>
      </c>
      <c r="H142" s="132">
        <f>IF(AND(C141="女",F141="A"),"尼","")</f>
      </c>
      <c r="I142" s="176">
        <f>IF(INDEX('参加者データ（要入力）'!$B$3:$O$102,69,10)="","",INDEX('参加者データ（要入力）'!$B$3:$O$102,69,10))</f>
      </c>
      <c r="J142" s="276">
        <f>IF(INDEX('参加者データ（要入力）'!$B$3:$O$102,69,7)="","",INDEX('参加者データ（要入力）'!$B$3:$O$102,69,7))</f>
      </c>
      <c r="K142" s="277" t="str">
        <f>INDEX('参加者データ（要入力）'!$B$2:$O$102,1,6)</f>
        <v>600-8308</v>
      </c>
      <c r="L142" s="277" t="str">
        <f>INDEX('参加者データ（要入力）'!$B$2:$O$102,1,6)</f>
        <v>600-8308</v>
      </c>
      <c r="M142" s="278" t="str">
        <f>INDEX('参加者データ（要入力）'!$B$2:$O$102,1,6)</f>
        <v>600-8308</v>
      </c>
      <c r="N142" s="99">
        <f>IF(INDEX('参加者データ（要入力）'!$B$3:$O$102,69,13)="","",INDEX('参加者データ（要入力）'!$B$3:$O$102,69,13))</f>
      </c>
      <c r="O142" s="284"/>
      <c r="P142" s="288"/>
      <c r="Q142" s="289"/>
      <c r="R142" s="290"/>
    </row>
    <row r="143" spans="1:18" ht="19.5" customHeight="1">
      <c r="A143" s="279">
        <v>70</v>
      </c>
      <c r="B143" s="118">
        <f>IF(INDEX('参加者データ（要入力）'!$B$3:$O$102,70,2)="","",INDEX('参加者データ（要入力）'!$B$3:$O$102,70,2))</f>
      </c>
      <c r="C143" s="280">
        <f>IF(INDEX('参加者データ（要入力）'!$B$3:$O$102,70,3)="","",INDEX('参加者データ（要入力）'!$B$3:$O$102,70,3))</f>
      </c>
      <c r="D143" s="280">
        <f>IF(INDEX('参加者データ（要入力）'!$B$3:$O$102,70,4)="","",INDEX('参加者データ（要入力）'!$B$3:$O$102,70,4))</f>
      </c>
      <c r="E143" s="121">
        <f>IF(INDEX('参加者データ（要入力）'!$B$3:$O$102,70,5)="","",INDEX('参加者データ（要入力）'!$B$3:$O$102,70,5))</f>
      </c>
      <c r="F143" s="274">
        <f>IF(INDEX('参加者データ（要入力）'!$B$3:$O$102,70,9)="","",INDEX('参加者データ（要入力）'!$B$3:$O$102,70,9))</f>
      </c>
      <c r="G143" s="126"/>
      <c r="H143" s="131"/>
      <c r="I143" s="96">
        <f>IF(INDEX('参加者データ（要入力）'!$B$3:$O$102,70,11)="","",INDEX('参加者データ（要入力）'!$B$3:$O$102,70,11))</f>
      </c>
      <c r="J143" s="86" t="s">
        <v>96</v>
      </c>
      <c r="K143" s="97">
        <f>IF(INDEX('参加者データ（要入力）'!$B$3:$O$102,70,6)="","",INDEX('参加者データ（要入力）'!$B$3:$O$102,70,6))</f>
      </c>
      <c r="L143" s="87" t="s">
        <v>97</v>
      </c>
      <c r="M143" s="98">
        <f>IF(INDEX('参加者データ（要入力）'!$B$3:$O$102,70,8)="","",INDEX('参加者データ（要入力）'!$B$3:$O$102,70,8))</f>
      </c>
      <c r="N143" s="95">
        <f>IF(INDEX('参加者データ（要入力）'!$B$3:$O$102,70,12)="","",INDEX('参加者データ（要入力）'!$B$3:$O$102,70,12))</f>
      </c>
      <c r="O143" s="283">
        <f>IF(INDEX('参加者データ（要入力）'!$B$3:$P$102,70,14)="","",INDEX('参加者データ（要入力）'!$B$3:$P$102,70,14))</f>
      </c>
      <c r="P143" s="285">
        <f>IF(INDEX('参加者データ（要入力）'!$B$3:$P$102,70,15)="","",INDEX('参加者データ（要入力）'!$B$3:$P$102,70,15))</f>
      </c>
      <c r="Q143" s="286"/>
      <c r="R143" s="287"/>
    </row>
    <row r="144" spans="1:18" ht="31.5" customHeight="1">
      <c r="A144" s="279"/>
      <c r="B144" s="117">
        <f>IF(INDEX('参加者データ（要入力）'!$B$3:$O$102,70,1)="","",INDEX('参加者データ（要入力）'!$B$3:$O$102,70,1))</f>
      </c>
      <c r="C144" s="237"/>
      <c r="D144" s="237"/>
      <c r="E144" s="124">
        <f>IF(INDEX('参加者データ（要入力）'!$B$3:$O$102,70,5)="","",INDEX('参加者データ（要入力）'!$B$3:$O$102,70,5))</f>
      </c>
      <c r="F144" s="275"/>
      <c r="G144" s="127" t="s">
        <v>98</v>
      </c>
      <c r="H144" s="132">
        <f>IF(AND(C143="女",F143="A"),"尼","")</f>
      </c>
      <c r="I144" s="176">
        <f>IF(INDEX('参加者データ（要入力）'!$B$3:$O$102,70,10)="","",INDEX('参加者データ（要入力）'!$B$3:$O$102,70,10))</f>
      </c>
      <c r="J144" s="276">
        <f>IF(INDEX('参加者データ（要入力）'!$B$3:$O$102,70,7)="","",INDEX('参加者データ（要入力）'!$B$3:$O$102,70,7))</f>
      </c>
      <c r="K144" s="277" t="str">
        <f>INDEX('参加者データ（要入力）'!$B$2:$O$102,1,6)</f>
        <v>600-8308</v>
      </c>
      <c r="L144" s="277" t="str">
        <f>INDEX('参加者データ（要入力）'!$B$2:$O$102,1,6)</f>
        <v>600-8308</v>
      </c>
      <c r="M144" s="278" t="str">
        <f>INDEX('参加者データ（要入力）'!$B$2:$O$102,1,6)</f>
        <v>600-8308</v>
      </c>
      <c r="N144" s="99">
        <f>IF(INDEX('参加者データ（要入力）'!$B$3:$O$102,70,13)="","",INDEX('参加者データ（要入力）'!$B$3:$O$102,70,13))</f>
      </c>
      <c r="O144" s="284"/>
      <c r="P144" s="288"/>
      <c r="Q144" s="289"/>
      <c r="R144" s="290"/>
    </row>
    <row r="145" spans="1:18" ht="19.5" customHeight="1">
      <c r="A145" s="279">
        <v>71</v>
      </c>
      <c r="B145" s="118">
        <f>IF(INDEX('参加者データ（要入力）'!$B$3:$O$102,71,2)="","",INDEX('参加者データ（要入力）'!$B$3:$O$102,71,2))</f>
      </c>
      <c r="C145" s="280">
        <f>IF(INDEX('参加者データ（要入力）'!$B$3:$O$102,71,3)="","",INDEX('参加者データ（要入力）'!$B$3:$O$102,71,3))</f>
      </c>
      <c r="D145" s="237">
        <f>IF(INDEX('参加者データ（要入力）'!$B$3:$O$102,71,4)="","",INDEX('参加者データ（要入力）'!$B$3:$O$102,71,4))</f>
      </c>
      <c r="E145" s="121">
        <f>IF(INDEX('参加者データ（要入力）'!$B$3:$O$102,71,5)="","",INDEX('参加者データ（要入力）'!$B$3:$O$102,71,5))</f>
      </c>
      <c r="F145" s="274">
        <f>IF(INDEX('参加者データ（要入力）'!$B$3:$O$102,71,9)="","",INDEX('参加者データ（要入力）'!$B$3:$O$102,71,9))</f>
      </c>
      <c r="G145" s="126"/>
      <c r="H145" s="131"/>
      <c r="I145" s="96">
        <f>IF(INDEX('参加者データ（要入力）'!$B$3:$O$102,71,11)="","",INDEX('参加者データ（要入力）'!$B$3:$O$102,71,11))</f>
      </c>
      <c r="J145" s="86" t="s">
        <v>96</v>
      </c>
      <c r="K145" s="97">
        <f>IF(INDEX('参加者データ（要入力）'!$B$3:$O$102,71,6)="","",INDEX('参加者データ（要入力）'!$B$3:$O$102,71,6))</f>
      </c>
      <c r="L145" s="87" t="s">
        <v>97</v>
      </c>
      <c r="M145" s="98">
        <f>IF(INDEX('参加者データ（要入力）'!$B$3:$O$102,71,8)="","",INDEX('参加者データ（要入力）'!$B$3:$O$102,71,8))</f>
      </c>
      <c r="N145" s="95">
        <f>IF(INDEX('参加者データ（要入力）'!$B$3:$O$102,71,12)="","",INDEX('参加者データ（要入力）'!$B$3:$O$102,71,12))</f>
      </c>
      <c r="O145" s="283">
        <f>IF(INDEX('参加者データ（要入力）'!$B$3:$P$102,71,14)="","",INDEX('参加者データ（要入力）'!$B$3:$P$102,71,14))</f>
      </c>
      <c r="P145" s="285">
        <f>IF(INDEX('参加者データ（要入力）'!$B$3:$P$102,71,15)="","",INDEX('参加者データ（要入力）'!$B$3:$P$102,71,15))</f>
      </c>
      <c r="Q145" s="286"/>
      <c r="R145" s="287"/>
    </row>
    <row r="146" spans="1:18" ht="31.5" customHeight="1">
      <c r="A146" s="279"/>
      <c r="B146" s="117">
        <f>IF(INDEX('参加者データ（要入力）'!$B$3:$O$102,71,1)="","",INDEX('参加者データ（要入力）'!$B$3:$O$102,71,1))</f>
      </c>
      <c r="C146" s="237"/>
      <c r="D146" s="237"/>
      <c r="E146" s="124">
        <f>IF(INDEX('参加者データ（要入力）'!$B$3:$O$102,71,5)="","",INDEX('参加者データ（要入力）'!$B$3:$O$102,71,5))</f>
      </c>
      <c r="F146" s="275"/>
      <c r="G146" s="127" t="s">
        <v>98</v>
      </c>
      <c r="H146" s="132">
        <f>IF(AND(C145="女",F145="A"),"尼","")</f>
      </c>
      <c r="I146" s="176">
        <f>IF(INDEX('参加者データ（要入力）'!$B$3:$O$102,71,10)="","",INDEX('参加者データ（要入力）'!$B$3:$O$102,71,10))</f>
      </c>
      <c r="J146" s="276">
        <f>IF(INDEX('参加者データ（要入力）'!$B$3:$O$102,71,7)="","",INDEX('参加者データ（要入力）'!$B$3:$O$102,71,7))</f>
      </c>
      <c r="K146" s="277" t="str">
        <f>INDEX('参加者データ（要入力）'!$B$2:$O$102,1,6)</f>
        <v>600-8308</v>
      </c>
      <c r="L146" s="277" t="str">
        <f>INDEX('参加者データ（要入力）'!$B$2:$O$102,1,6)</f>
        <v>600-8308</v>
      </c>
      <c r="M146" s="278" t="str">
        <f>INDEX('参加者データ（要入力）'!$B$2:$O$102,1,6)</f>
        <v>600-8308</v>
      </c>
      <c r="N146" s="99">
        <f>IF(INDEX('参加者データ（要入力）'!$B$3:$O$102,71,13)="","",INDEX('参加者データ（要入力）'!$B$3:$O$102,71,13))</f>
      </c>
      <c r="O146" s="284"/>
      <c r="P146" s="288"/>
      <c r="Q146" s="289"/>
      <c r="R146" s="290"/>
    </row>
    <row r="147" spans="1:18" ht="19.5" customHeight="1">
      <c r="A147" s="279">
        <v>72</v>
      </c>
      <c r="B147" s="118">
        <f>IF(INDEX('参加者データ（要入力）'!$B$3:$O$102,72,2)="","",INDEX('参加者データ（要入力）'!$B$3:$O$102,72,2))</f>
      </c>
      <c r="C147" s="280">
        <f>IF(INDEX('参加者データ（要入力）'!$B$3:$O$102,72,3)="","",INDEX('参加者データ（要入力）'!$B$3:$O$102,72,3))</f>
      </c>
      <c r="D147" s="280">
        <f>IF(INDEX('参加者データ（要入力）'!$B$3:$O$102,72,4)="","",INDEX('参加者データ（要入力）'!$B$3:$O$102,72,4))</f>
      </c>
      <c r="E147" s="121">
        <f>IF(INDEX('参加者データ（要入力）'!$B$3:$O$102,72,5)="","",INDEX('参加者データ（要入力）'!$B$3:$O$102,72,5))</f>
      </c>
      <c r="F147" s="274">
        <f>IF(INDEX('参加者データ（要入力）'!$B$3:$O$102,72,9)="","",INDEX('参加者データ（要入力）'!$B$3:$O$102,72,9))</f>
      </c>
      <c r="G147" s="126"/>
      <c r="H147" s="131"/>
      <c r="I147" s="96">
        <f>IF(INDEX('参加者データ（要入力）'!$B$3:$O$102,72,11)="","",INDEX('参加者データ（要入力）'!$B$3:$O$102,72,11))</f>
      </c>
      <c r="J147" s="86" t="s">
        <v>96</v>
      </c>
      <c r="K147" s="97">
        <f>IF(INDEX('参加者データ（要入力）'!$B$3:$O$102,72,6)="","",INDEX('参加者データ（要入力）'!$B$3:$O$102,72,6))</f>
      </c>
      <c r="L147" s="87" t="s">
        <v>97</v>
      </c>
      <c r="M147" s="98">
        <f>IF(INDEX('参加者データ（要入力）'!$B$3:$O$102,72,8)="","",INDEX('参加者データ（要入力）'!$B$3:$O$102,72,8))</f>
      </c>
      <c r="N147" s="95">
        <f>IF(INDEX('参加者データ（要入力）'!$B$3:$O$102,72,12)="","",INDEX('参加者データ（要入力）'!$B$3:$O$102,72,12))</f>
      </c>
      <c r="O147" s="283">
        <f>IF(INDEX('参加者データ（要入力）'!$B$3:$P$102,72,14)="","",INDEX('参加者データ（要入力）'!$B$3:$P$102,72,14))</f>
      </c>
      <c r="P147" s="285">
        <f>IF(INDEX('参加者データ（要入力）'!$B$3:$P$102,72,15)="","",INDEX('参加者データ（要入力）'!$B$3:$P$102,72,15))</f>
      </c>
      <c r="Q147" s="286"/>
      <c r="R147" s="287"/>
    </row>
    <row r="148" spans="1:18" ht="31.5" customHeight="1">
      <c r="A148" s="279"/>
      <c r="B148" s="117">
        <f>IF(INDEX('参加者データ（要入力）'!$B$3:$O$102,72,1)="","",INDEX('参加者データ（要入力）'!$B$3:$O$102,72,1))</f>
      </c>
      <c r="C148" s="237"/>
      <c r="D148" s="237"/>
      <c r="E148" s="124">
        <f>IF(INDEX('参加者データ（要入力）'!$B$3:$O$102,72,5)="","",INDEX('参加者データ（要入力）'!$B$3:$O$102,72,5))</f>
      </c>
      <c r="F148" s="275"/>
      <c r="G148" s="127" t="s">
        <v>98</v>
      </c>
      <c r="H148" s="132">
        <f>IF(AND(C147="女",F147="A"),"尼","")</f>
      </c>
      <c r="I148" s="176">
        <f>IF(INDEX('参加者データ（要入力）'!$B$3:$O$102,72,10)="","",INDEX('参加者データ（要入力）'!$B$3:$O$102,72,10))</f>
      </c>
      <c r="J148" s="276">
        <f>IF(INDEX('参加者データ（要入力）'!$B$3:$O$102,72,7)="","",INDEX('参加者データ（要入力）'!$B$3:$O$102,72,7))</f>
      </c>
      <c r="K148" s="277" t="str">
        <f>INDEX('参加者データ（要入力）'!$B$2:$O$102,1,6)</f>
        <v>600-8308</v>
      </c>
      <c r="L148" s="277" t="str">
        <f>INDEX('参加者データ（要入力）'!$B$2:$O$102,1,6)</f>
        <v>600-8308</v>
      </c>
      <c r="M148" s="278" t="str">
        <f>INDEX('参加者データ（要入力）'!$B$2:$O$102,1,6)</f>
        <v>600-8308</v>
      </c>
      <c r="N148" s="99">
        <f>IF(INDEX('参加者データ（要入力）'!$B$3:$O$102,72,13)="","",INDEX('参加者データ（要入力）'!$B$3:$O$102,72,13))</f>
      </c>
      <c r="O148" s="284"/>
      <c r="P148" s="288"/>
      <c r="Q148" s="289"/>
      <c r="R148" s="290"/>
    </row>
    <row r="149" spans="1:18" ht="19.5" customHeight="1">
      <c r="A149" s="279">
        <v>73</v>
      </c>
      <c r="B149" s="118">
        <f>IF(INDEX('参加者データ（要入力）'!$B$3:$O$102,73,2)="","",INDEX('参加者データ（要入力）'!$B$3:$O$102,73,2))</f>
      </c>
      <c r="C149" s="280">
        <f>IF(INDEX('参加者データ（要入力）'!$B$3:$O$102,73,3)="","",INDEX('参加者データ（要入力）'!$B$3:$O$102,73,3))</f>
      </c>
      <c r="D149" s="237">
        <f>IF(INDEX('参加者データ（要入力）'!$B$3:$O$102,73,4)="","",INDEX('参加者データ（要入力）'!$B$3:$O$102,73,4))</f>
      </c>
      <c r="E149" s="121">
        <f>IF(INDEX('参加者データ（要入力）'!$B$3:$O$102,73,5)="","",INDEX('参加者データ（要入力）'!$B$3:$O$102,73,5))</f>
      </c>
      <c r="F149" s="274">
        <f>IF(INDEX('参加者データ（要入力）'!$B$3:$O$102,73,9)="","",INDEX('参加者データ（要入力）'!$B$3:$O$102,73,9))</f>
      </c>
      <c r="G149" s="126"/>
      <c r="H149" s="131"/>
      <c r="I149" s="96">
        <f>IF(INDEX('参加者データ（要入力）'!$B$3:$O$102,73,11)="","",INDEX('参加者データ（要入力）'!$B$3:$O$102,73,11))</f>
      </c>
      <c r="J149" s="86" t="s">
        <v>96</v>
      </c>
      <c r="K149" s="97">
        <f>IF(INDEX('参加者データ（要入力）'!$B$3:$O$102,73,6)="","",INDEX('参加者データ（要入力）'!$B$3:$O$102,73,6))</f>
      </c>
      <c r="L149" s="87" t="s">
        <v>97</v>
      </c>
      <c r="M149" s="98">
        <f>IF(INDEX('参加者データ（要入力）'!$B$3:$O$102,73,8)="","",INDEX('参加者データ（要入力）'!$B$3:$O$102,73,8))</f>
      </c>
      <c r="N149" s="95">
        <f>IF(INDEX('参加者データ（要入力）'!$B$3:$O$102,73,12)="","",INDEX('参加者データ（要入力）'!$B$3:$O$102,73,12))</f>
      </c>
      <c r="O149" s="283">
        <f>IF(INDEX('参加者データ（要入力）'!$B$3:$P$102,73,14)="","",INDEX('参加者データ（要入力）'!$B$3:$P$102,73,14))</f>
      </c>
      <c r="P149" s="285">
        <f>IF(INDEX('参加者データ（要入力）'!$B$3:$P$102,73,15)="","",INDEX('参加者データ（要入力）'!$B$3:$P$102,73,15))</f>
      </c>
      <c r="Q149" s="286"/>
      <c r="R149" s="287"/>
    </row>
    <row r="150" spans="1:18" ht="31.5" customHeight="1">
      <c r="A150" s="279"/>
      <c r="B150" s="117">
        <f>IF(INDEX('参加者データ（要入力）'!$B$3:$O$102,73,1)="","",INDEX('参加者データ（要入力）'!$B$3:$O$102,73,1))</f>
      </c>
      <c r="C150" s="237"/>
      <c r="D150" s="237"/>
      <c r="E150" s="124">
        <f>IF(INDEX('参加者データ（要入力）'!$B$3:$O$102,73,5)="","",INDEX('参加者データ（要入力）'!$B$3:$O$102,73,5))</f>
      </c>
      <c r="F150" s="275"/>
      <c r="G150" s="127" t="s">
        <v>98</v>
      </c>
      <c r="H150" s="132">
        <f>IF(AND(C149="女",F149="A"),"尼","")</f>
      </c>
      <c r="I150" s="176">
        <f>IF(INDEX('参加者データ（要入力）'!$B$3:$O$102,73,10)="","",INDEX('参加者データ（要入力）'!$B$3:$O$102,73,10))</f>
      </c>
      <c r="J150" s="276">
        <f>IF(INDEX('参加者データ（要入力）'!$B$3:$O$102,73,7)="","",INDEX('参加者データ（要入力）'!$B$3:$O$102,73,7))</f>
      </c>
      <c r="K150" s="277" t="str">
        <f>INDEX('参加者データ（要入力）'!$B$2:$O$102,1,6)</f>
        <v>600-8308</v>
      </c>
      <c r="L150" s="277" t="str">
        <f>INDEX('参加者データ（要入力）'!$B$2:$O$102,1,6)</f>
        <v>600-8308</v>
      </c>
      <c r="M150" s="278" t="str">
        <f>INDEX('参加者データ（要入力）'!$B$2:$O$102,1,6)</f>
        <v>600-8308</v>
      </c>
      <c r="N150" s="99">
        <f>IF(INDEX('参加者データ（要入力）'!$B$3:$O$102,73,13)="","",INDEX('参加者データ（要入力）'!$B$3:$O$102,73,13))</f>
      </c>
      <c r="O150" s="284"/>
      <c r="P150" s="288"/>
      <c r="Q150" s="289"/>
      <c r="R150" s="290"/>
    </row>
    <row r="151" spans="1:18" ht="19.5" customHeight="1">
      <c r="A151" s="279">
        <v>74</v>
      </c>
      <c r="B151" s="118">
        <f>IF(INDEX('参加者データ（要入力）'!$B$3:$O$102,74,2)="","",INDEX('参加者データ（要入力）'!$B$3:$O$102,74,2))</f>
      </c>
      <c r="C151" s="280">
        <f>IF(INDEX('参加者データ（要入力）'!$B$3:$O$102,74,3)="","",INDEX('参加者データ（要入力）'!$B$3:$O$102,74,3))</f>
      </c>
      <c r="D151" s="280">
        <f>IF(INDEX('参加者データ（要入力）'!$B$3:$O$102,74,4)="","",INDEX('参加者データ（要入力）'!$B$3:$O$102,74,4))</f>
      </c>
      <c r="E151" s="121">
        <f>IF(INDEX('参加者データ（要入力）'!$B$3:$O$102,74,5)="","",INDEX('参加者データ（要入力）'!$B$3:$O$102,74,5))</f>
      </c>
      <c r="F151" s="274">
        <f>IF(INDEX('参加者データ（要入力）'!$B$3:$O$102,74,9)="","",INDEX('参加者データ（要入力）'!$B$3:$O$102,74,9))</f>
      </c>
      <c r="G151" s="126"/>
      <c r="H151" s="131"/>
      <c r="I151" s="96">
        <f>IF(INDEX('参加者データ（要入力）'!$B$3:$O$102,74,11)="","",INDEX('参加者データ（要入力）'!$B$3:$O$102,74,11))</f>
      </c>
      <c r="J151" s="86" t="s">
        <v>96</v>
      </c>
      <c r="K151" s="97">
        <f>IF(INDEX('参加者データ（要入力）'!$B$3:$O$102,74,6)="","",INDEX('参加者データ（要入力）'!$B$3:$O$102,74,6))</f>
      </c>
      <c r="L151" s="87" t="s">
        <v>97</v>
      </c>
      <c r="M151" s="98">
        <f>IF(INDEX('参加者データ（要入力）'!$B$3:$O$102,74,8)="","",INDEX('参加者データ（要入力）'!$B$3:$O$102,74,8))</f>
      </c>
      <c r="N151" s="95">
        <f>IF(INDEX('参加者データ（要入力）'!$B$3:$O$102,74,12)="","",INDEX('参加者データ（要入力）'!$B$3:$O$102,74,12))</f>
      </c>
      <c r="O151" s="283">
        <f>IF(INDEX('参加者データ（要入力）'!$B$3:$P$102,74,14)="","",INDEX('参加者データ（要入力）'!$B$3:$P$102,74,14))</f>
      </c>
      <c r="P151" s="285">
        <f>IF(INDEX('参加者データ（要入力）'!$B$3:$P$102,74,15)="","",INDEX('参加者データ（要入力）'!$B$3:$P$102,74,15))</f>
      </c>
      <c r="Q151" s="286"/>
      <c r="R151" s="287"/>
    </row>
    <row r="152" spans="1:18" ht="31.5" customHeight="1">
      <c r="A152" s="279"/>
      <c r="B152" s="117">
        <f>IF(INDEX('参加者データ（要入力）'!$B$3:$O$102,74,1)="","",INDEX('参加者データ（要入力）'!$B$3:$O$102,74,1))</f>
      </c>
      <c r="C152" s="237"/>
      <c r="D152" s="237"/>
      <c r="E152" s="124">
        <f>IF(INDEX('参加者データ（要入力）'!$B$3:$O$102,74,5)="","",INDEX('参加者データ（要入力）'!$B$3:$O$102,74,5))</f>
      </c>
      <c r="F152" s="275"/>
      <c r="G152" s="127" t="s">
        <v>98</v>
      </c>
      <c r="H152" s="132">
        <f>IF(AND(C151="女",F151="A"),"尼","")</f>
      </c>
      <c r="I152" s="176">
        <f>IF(INDEX('参加者データ（要入力）'!$B$3:$O$102,74,10)="","",INDEX('参加者データ（要入力）'!$B$3:$O$102,74,10))</f>
      </c>
      <c r="J152" s="276">
        <f>IF(INDEX('参加者データ（要入力）'!$B$3:$O$102,74,7)="","",INDEX('参加者データ（要入力）'!$B$3:$O$102,74,7))</f>
      </c>
      <c r="K152" s="277" t="str">
        <f>INDEX('参加者データ（要入力）'!$B$2:$O$102,1,6)</f>
        <v>600-8308</v>
      </c>
      <c r="L152" s="277" t="str">
        <f>INDEX('参加者データ（要入力）'!$B$2:$O$102,1,6)</f>
        <v>600-8308</v>
      </c>
      <c r="M152" s="278" t="str">
        <f>INDEX('参加者データ（要入力）'!$B$2:$O$102,1,6)</f>
        <v>600-8308</v>
      </c>
      <c r="N152" s="99">
        <f>IF(INDEX('参加者データ（要入力）'!$B$3:$O$102,74,13)="","",INDEX('参加者データ（要入力）'!$B$3:$O$102,74,13))</f>
      </c>
      <c r="O152" s="284"/>
      <c r="P152" s="288"/>
      <c r="Q152" s="289"/>
      <c r="R152" s="290"/>
    </row>
    <row r="153" spans="1:18" ht="19.5" customHeight="1">
      <c r="A153" s="279">
        <v>75</v>
      </c>
      <c r="B153" s="118">
        <f>IF(INDEX('参加者データ（要入力）'!$B$3:$O$102,75,2)="","",INDEX('参加者データ（要入力）'!$B$3:$O$102,75,2))</f>
      </c>
      <c r="C153" s="280">
        <f>IF(INDEX('参加者データ（要入力）'!$B$3:$O$102,75,3)="","",INDEX('参加者データ（要入力）'!$B$3:$O$102,75,3))</f>
      </c>
      <c r="D153" s="237">
        <f>IF(INDEX('参加者データ（要入力）'!$B$3:$O$102,75,4)="","",INDEX('参加者データ（要入力）'!$B$3:$O$102,75,4))</f>
      </c>
      <c r="E153" s="121">
        <f>IF(INDEX('参加者データ（要入力）'!$B$3:$O$102,75,5)="","",INDEX('参加者データ（要入力）'!$B$3:$O$102,75,5))</f>
      </c>
      <c r="F153" s="274">
        <f>IF(INDEX('参加者データ（要入力）'!$B$3:$O$102,75,9)="","",INDEX('参加者データ（要入力）'!$B$3:$O$102,75,9))</f>
      </c>
      <c r="G153" s="126"/>
      <c r="H153" s="131"/>
      <c r="I153" s="96">
        <f>IF(INDEX('参加者データ（要入力）'!$B$3:$O$102,75,11)="","",INDEX('参加者データ（要入力）'!$B$3:$O$102,75,11))</f>
      </c>
      <c r="J153" s="86" t="s">
        <v>96</v>
      </c>
      <c r="K153" s="97">
        <f>IF(INDEX('参加者データ（要入力）'!$B$3:$O$102,75,6)="","",INDEX('参加者データ（要入力）'!$B$3:$O$102,75,6))</f>
      </c>
      <c r="L153" s="87" t="s">
        <v>97</v>
      </c>
      <c r="M153" s="98">
        <f>IF(INDEX('参加者データ（要入力）'!$B$3:$O$102,75,8)="","",INDEX('参加者データ（要入力）'!$B$3:$O$102,75,8))</f>
      </c>
      <c r="N153" s="95">
        <f>IF(INDEX('参加者データ（要入力）'!$B$3:$O$102,75,12)="","",INDEX('参加者データ（要入力）'!$B$3:$O$102,75,12))</f>
      </c>
      <c r="O153" s="283">
        <f>IF(INDEX('参加者データ（要入力）'!$B$3:$P$102,75,14)="","",INDEX('参加者データ（要入力）'!$B$3:$P$102,75,14))</f>
      </c>
      <c r="P153" s="285">
        <f>IF(INDEX('参加者データ（要入力）'!$B$3:$P$102,75,15)="","",INDEX('参加者データ（要入力）'!$B$3:$P$102,75,15))</f>
      </c>
      <c r="Q153" s="286"/>
      <c r="R153" s="287"/>
    </row>
    <row r="154" spans="1:18" ht="31.5" customHeight="1">
      <c r="A154" s="279"/>
      <c r="B154" s="117">
        <f>IF(INDEX('参加者データ（要入力）'!$B$3:$O$102,75,1)="","",INDEX('参加者データ（要入力）'!$B$3:$O$102,75,1))</f>
      </c>
      <c r="C154" s="237"/>
      <c r="D154" s="237"/>
      <c r="E154" s="122">
        <f>IF(INDEX('参加者データ（要入力）'!$B$3:$O$102,75,5)="","",INDEX('参加者データ（要入力）'!$B$3:$O$102,75,5))</f>
      </c>
      <c r="F154" s="275"/>
      <c r="G154" s="127" t="s">
        <v>98</v>
      </c>
      <c r="H154" s="132">
        <f>IF(AND(C153="女",F153="A"),"尼","")</f>
      </c>
      <c r="I154" s="176">
        <f>IF(INDEX('参加者データ（要入力）'!$B$3:$O$102,75,10)="","",INDEX('参加者データ（要入力）'!$B$3:$O$102,75,10))</f>
      </c>
      <c r="J154" s="276">
        <f>IF(INDEX('参加者データ（要入力）'!$B$3:$O$102,75,7)="","",INDEX('参加者データ（要入力）'!$B$3:$O$102,75,7))</f>
      </c>
      <c r="K154" s="277" t="str">
        <f>INDEX('参加者データ（要入力）'!$B$2:$O$102,1,6)</f>
        <v>600-8308</v>
      </c>
      <c r="L154" s="277" t="str">
        <f>INDEX('参加者データ（要入力）'!$B$2:$O$102,1,6)</f>
        <v>600-8308</v>
      </c>
      <c r="M154" s="278" t="str">
        <f>INDEX('参加者データ（要入力）'!$B$2:$O$102,1,6)</f>
        <v>600-8308</v>
      </c>
      <c r="N154" s="99">
        <f>IF(INDEX('参加者データ（要入力）'!$B$3:$O$102,75,13)="","",INDEX('参加者データ（要入力）'!$B$3:$O$102,75,13))</f>
      </c>
      <c r="O154" s="284"/>
      <c r="P154" s="288"/>
      <c r="Q154" s="289"/>
      <c r="R154" s="290"/>
    </row>
    <row r="155" spans="1:18" ht="19.5" customHeight="1">
      <c r="A155" s="279">
        <v>76</v>
      </c>
      <c r="B155" s="118">
        <f>IF(INDEX('参加者データ（要入力）'!$B$3:$O$102,76,2)="","",INDEX('参加者データ（要入力）'!$B$3:$O$102,76,2))</f>
      </c>
      <c r="C155" s="280">
        <f>IF(INDEX('参加者データ（要入力）'!$B$3:$O$102,76,3)="","",INDEX('参加者データ（要入力）'!$B$3:$O$102,76,3))</f>
      </c>
      <c r="D155" s="280">
        <f>IF(INDEX('参加者データ（要入力）'!$B$3:$O$102,76,4)="","",INDEX('参加者データ（要入力）'!$B$3:$O$102,76,4))</f>
      </c>
      <c r="E155" s="121">
        <f>IF(INDEX('参加者データ（要入力）'!$B$3:$O$102,76,5)="","",INDEX('参加者データ（要入力）'!$B$3:$O$102,76,5))</f>
      </c>
      <c r="F155" s="274">
        <f>IF(INDEX('参加者データ（要入力）'!$B$3:$O$102,76,9)="","",INDEX('参加者データ（要入力）'!$B$3:$O$102,76,9))</f>
      </c>
      <c r="G155" s="126"/>
      <c r="H155" s="131"/>
      <c r="I155" s="96">
        <f>IF(INDEX('参加者データ（要入力）'!$B$3:$O$102,76,11)="","",INDEX('参加者データ（要入力）'!$B$3:$O$102,76,11))</f>
      </c>
      <c r="J155" s="86" t="s">
        <v>96</v>
      </c>
      <c r="K155" s="97">
        <f>IF(INDEX('参加者データ（要入力）'!$B$3:$O$102,76,6)="","",INDEX('参加者データ（要入力）'!$B$3:$O$102,76,6))</f>
      </c>
      <c r="L155" s="87" t="s">
        <v>97</v>
      </c>
      <c r="M155" s="98">
        <f>IF(INDEX('参加者データ（要入力）'!$B$3:$O$102,76,8)="","",INDEX('参加者データ（要入力）'!$B$3:$O$102,76,8))</f>
      </c>
      <c r="N155" s="95">
        <f>IF(INDEX('参加者データ（要入力）'!$B$3:$O$102,76,12)="","",INDEX('参加者データ（要入力）'!$B$3:$O$102,76,12))</f>
      </c>
      <c r="O155" s="283">
        <f>IF(INDEX('参加者データ（要入力）'!$B$3:$P$102,76,14)="","",INDEX('参加者データ（要入力）'!$B$3:$P$102,76,14))</f>
      </c>
      <c r="P155" s="285">
        <f>IF(INDEX('参加者データ（要入力）'!$B$3:$P$102,76,15)="","",INDEX('参加者データ（要入力）'!$B$3:$P$102,76,15))</f>
      </c>
      <c r="Q155" s="286"/>
      <c r="R155" s="287"/>
    </row>
    <row r="156" spans="1:18" ht="31.5" customHeight="1">
      <c r="A156" s="279"/>
      <c r="B156" s="117">
        <f>IF(INDEX('参加者データ（要入力）'!$B$3:$O$102,76,1)="","",INDEX('参加者データ（要入力）'!$B$3:$O$102,76,1))</f>
      </c>
      <c r="C156" s="237"/>
      <c r="D156" s="237"/>
      <c r="E156" s="124">
        <f>IF(INDEX('参加者データ（要入力）'!$B$3:$O$102,76,5)="","",INDEX('参加者データ（要入力）'!$B$3:$O$102,76,5))</f>
      </c>
      <c r="F156" s="275"/>
      <c r="G156" s="127" t="s">
        <v>98</v>
      </c>
      <c r="H156" s="132">
        <f>IF(AND(C155="女",F155="A"),"尼","")</f>
      </c>
      <c r="I156" s="176">
        <f>IF(INDEX('参加者データ（要入力）'!$B$3:$O$102,76,10)="","",INDEX('参加者データ（要入力）'!$B$3:$O$102,76,10))</f>
      </c>
      <c r="J156" s="276">
        <f>IF(INDEX('参加者データ（要入力）'!$B$3:$O$102,76,7)="","",INDEX('参加者データ（要入力）'!$B$3:$O$102,76,7))</f>
      </c>
      <c r="K156" s="277" t="str">
        <f>INDEX('参加者データ（要入力）'!$B$2:$O$102,1,6)</f>
        <v>600-8308</v>
      </c>
      <c r="L156" s="277" t="str">
        <f>INDEX('参加者データ（要入力）'!$B$2:$O$102,1,6)</f>
        <v>600-8308</v>
      </c>
      <c r="M156" s="278" t="str">
        <f>INDEX('参加者データ（要入力）'!$B$2:$O$102,1,6)</f>
        <v>600-8308</v>
      </c>
      <c r="N156" s="99">
        <f>IF(INDEX('参加者データ（要入力）'!$B$3:$O$102,76,13)="","",INDEX('参加者データ（要入力）'!$B$3:$O$102,76,13))</f>
      </c>
      <c r="O156" s="284"/>
      <c r="P156" s="288"/>
      <c r="Q156" s="289"/>
      <c r="R156" s="290"/>
    </row>
    <row r="157" spans="1:18" ht="19.5" customHeight="1">
      <c r="A157" s="279">
        <v>77</v>
      </c>
      <c r="B157" s="118">
        <f>IF(INDEX('参加者データ（要入力）'!$B$3:$O$102,77,2)="","",INDEX('参加者データ（要入力）'!$B$3:$O$102,77,2))</f>
      </c>
      <c r="C157" s="280">
        <f>IF(INDEX('参加者データ（要入力）'!$B$3:$O$102,77,3)="","",INDEX('参加者データ（要入力）'!$B$3:$O$102,77,3))</f>
      </c>
      <c r="D157" s="237">
        <f>IF(INDEX('参加者データ（要入力）'!$B$3:$O$102,77,4)="","",INDEX('参加者データ（要入力）'!$B$3:$O$102,77,4))</f>
      </c>
      <c r="E157" s="121">
        <f>IF(INDEX('参加者データ（要入力）'!$B$3:$O$102,77,5)="","",INDEX('参加者データ（要入力）'!$B$3:$O$102,77,5))</f>
      </c>
      <c r="F157" s="274">
        <f>IF(INDEX('参加者データ（要入力）'!$B$3:$O$102,77,9)="","",INDEX('参加者データ（要入力）'!$B$3:$O$102,77,9))</f>
      </c>
      <c r="G157" s="126"/>
      <c r="H157" s="131"/>
      <c r="I157" s="96">
        <f>IF(INDEX('参加者データ（要入力）'!$B$3:$O$102,77,11)="","",INDEX('参加者データ（要入力）'!$B$3:$O$102,77,11))</f>
      </c>
      <c r="J157" s="86" t="s">
        <v>96</v>
      </c>
      <c r="K157" s="97">
        <f>IF(INDEX('参加者データ（要入力）'!$B$3:$O$102,77,6)="","",INDEX('参加者データ（要入力）'!$B$3:$O$102,77,6))</f>
      </c>
      <c r="L157" s="87" t="s">
        <v>97</v>
      </c>
      <c r="M157" s="98">
        <f>IF(INDEX('参加者データ（要入力）'!$B$3:$O$102,77,8)="","",INDEX('参加者データ（要入力）'!$B$3:$O$102,77,8))</f>
      </c>
      <c r="N157" s="95">
        <f>IF(INDEX('参加者データ（要入力）'!$B$3:$O$102,77,12)="","",INDEX('参加者データ（要入力）'!$B$3:$O$102,77,12))</f>
      </c>
      <c r="O157" s="283">
        <f>IF(INDEX('参加者データ（要入力）'!$B$3:$P$102,77,14)="","",INDEX('参加者データ（要入力）'!$B$3:$P$102,77,14))</f>
      </c>
      <c r="P157" s="285">
        <f>IF(INDEX('参加者データ（要入力）'!$B$3:$P$102,77,15)="","",INDEX('参加者データ（要入力）'!$B$3:$P$102,77,15))</f>
      </c>
      <c r="Q157" s="286"/>
      <c r="R157" s="287"/>
    </row>
    <row r="158" spans="1:18" ht="31.5" customHeight="1">
      <c r="A158" s="279"/>
      <c r="B158" s="117">
        <f>IF(INDEX('参加者データ（要入力）'!$B$3:$O$102,77,1)="","",INDEX('参加者データ（要入力）'!$B$3:$O$102,77,1))</f>
      </c>
      <c r="C158" s="237"/>
      <c r="D158" s="237"/>
      <c r="E158" s="124">
        <f>IF(INDEX('参加者データ（要入力）'!$B$3:$O$102,77,5)="","",INDEX('参加者データ（要入力）'!$B$3:$O$102,77,5))</f>
      </c>
      <c r="F158" s="275"/>
      <c r="G158" s="127" t="s">
        <v>98</v>
      </c>
      <c r="H158" s="132">
        <f>IF(AND(C157="女",F157="A"),"尼","")</f>
      </c>
      <c r="I158" s="176">
        <f>IF(INDEX('参加者データ（要入力）'!$B$3:$O$102,77,10)="","",INDEX('参加者データ（要入力）'!$B$3:$O$102,77,10))</f>
      </c>
      <c r="J158" s="276">
        <f>IF(INDEX('参加者データ（要入力）'!$B$3:$O$102,77,7)="","",INDEX('参加者データ（要入力）'!$B$3:$O$102,77,7))</f>
      </c>
      <c r="K158" s="277" t="str">
        <f>INDEX('参加者データ（要入力）'!$B$2:$O$102,1,6)</f>
        <v>600-8308</v>
      </c>
      <c r="L158" s="277" t="str">
        <f>INDEX('参加者データ（要入力）'!$B$2:$O$102,1,6)</f>
        <v>600-8308</v>
      </c>
      <c r="M158" s="278" t="str">
        <f>INDEX('参加者データ（要入力）'!$B$2:$O$102,1,6)</f>
        <v>600-8308</v>
      </c>
      <c r="N158" s="99">
        <f>IF(INDEX('参加者データ（要入力）'!$B$3:$O$102,77,13)="","",INDEX('参加者データ（要入力）'!$B$3:$O$102,77,13))</f>
      </c>
      <c r="O158" s="284"/>
      <c r="P158" s="288"/>
      <c r="Q158" s="289"/>
      <c r="R158" s="290"/>
    </row>
    <row r="159" spans="1:18" ht="19.5" customHeight="1">
      <c r="A159" s="279">
        <v>78</v>
      </c>
      <c r="B159" s="118">
        <f>IF(INDEX('参加者データ（要入力）'!$B$3:$O$102,78,2)="","",INDEX('参加者データ（要入力）'!$B$3:$O$102,78,2))</f>
      </c>
      <c r="C159" s="280">
        <f>IF(INDEX('参加者データ（要入力）'!$B$3:$O$102,78,3)="","",INDEX('参加者データ（要入力）'!$B$3:$O$102,78,3))</f>
      </c>
      <c r="D159" s="280">
        <f>IF(INDEX('参加者データ（要入力）'!$B$3:$O$102,78,4)="","",INDEX('参加者データ（要入力）'!$B$3:$O$102,78,4))</f>
      </c>
      <c r="E159" s="121">
        <f>IF(INDEX('参加者データ（要入力）'!$B$3:$O$102,78,5)="","",INDEX('参加者データ（要入力）'!$B$3:$O$102,78,5))</f>
      </c>
      <c r="F159" s="274">
        <f>IF(INDEX('参加者データ（要入力）'!$B$3:$O$102,78,9)="","",INDEX('参加者データ（要入力）'!$B$3:$O$102,78,9))</f>
      </c>
      <c r="G159" s="126"/>
      <c r="H159" s="131"/>
      <c r="I159" s="96">
        <f>IF(INDEX('参加者データ（要入力）'!$B$3:$O$102,78,11)="","",INDEX('参加者データ（要入力）'!$B$3:$O$102,78,11))</f>
      </c>
      <c r="J159" s="86" t="s">
        <v>96</v>
      </c>
      <c r="K159" s="97">
        <f>IF(INDEX('参加者データ（要入力）'!$B$3:$O$102,78,6)="","",INDEX('参加者データ（要入力）'!$B$3:$O$102,78,6))</f>
      </c>
      <c r="L159" s="87" t="s">
        <v>97</v>
      </c>
      <c r="M159" s="98">
        <f>IF(INDEX('参加者データ（要入力）'!$B$3:$O$102,78,8)="","",INDEX('参加者データ（要入力）'!$B$3:$O$102,78,8))</f>
      </c>
      <c r="N159" s="95">
        <f>IF(INDEX('参加者データ（要入力）'!$B$3:$O$102,78,12)="","",INDEX('参加者データ（要入力）'!$B$3:$O$102,78,12))</f>
      </c>
      <c r="O159" s="283">
        <f>IF(INDEX('参加者データ（要入力）'!$B$3:$P$102,78,14)="","",INDEX('参加者データ（要入力）'!$B$3:$P$102,78,14))</f>
      </c>
      <c r="P159" s="285">
        <f>IF(INDEX('参加者データ（要入力）'!$B$3:$P$102,78,15)="","",INDEX('参加者データ（要入力）'!$B$3:$P$102,78,15))</f>
      </c>
      <c r="Q159" s="286"/>
      <c r="R159" s="287"/>
    </row>
    <row r="160" spans="1:18" ht="31.5" customHeight="1">
      <c r="A160" s="279"/>
      <c r="B160" s="117">
        <f>IF(INDEX('参加者データ（要入力）'!$B$3:$O$102,78,1)="","",INDEX('参加者データ（要入力）'!$B$3:$O$102,78,1))</f>
      </c>
      <c r="C160" s="237"/>
      <c r="D160" s="237"/>
      <c r="E160" s="124">
        <f>IF(INDEX('参加者データ（要入力）'!$B$3:$O$102,78,5)="","",INDEX('参加者データ（要入力）'!$B$3:$O$102,78,5))</f>
      </c>
      <c r="F160" s="275"/>
      <c r="G160" s="127" t="s">
        <v>98</v>
      </c>
      <c r="H160" s="132">
        <f>IF(AND(C159="女",F159="A"),"尼","")</f>
      </c>
      <c r="I160" s="176">
        <f>IF(INDEX('参加者データ（要入力）'!$B$3:$O$102,78,10)="","",INDEX('参加者データ（要入力）'!$B$3:$O$102,78,10))</f>
      </c>
      <c r="J160" s="276">
        <f>IF(INDEX('参加者データ（要入力）'!$B$3:$O$102,78,7)="","",INDEX('参加者データ（要入力）'!$B$3:$O$102,78,7))</f>
      </c>
      <c r="K160" s="277" t="str">
        <f>INDEX('参加者データ（要入力）'!$B$2:$O$102,1,6)</f>
        <v>600-8308</v>
      </c>
      <c r="L160" s="277" t="str">
        <f>INDEX('参加者データ（要入力）'!$B$2:$O$102,1,6)</f>
        <v>600-8308</v>
      </c>
      <c r="M160" s="278" t="str">
        <f>INDEX('参加者データ（要入力）'!$B$2:$O$102,1,6)</f>
        <v>600-8308</v>
      </c>
      <c r="N160" s="99">
        <f>IF(INDEX('参加者データ（要入力）'!$B$3:$O$102,78,13)="","",INDEX('参加者データ（要入力）'!$B$3:$O$102,78,13))</f>
      </c>
      <c r="O160" s="284"/>
      <c r="P160" s="288"/>
      <c r="Q160" s="289"/>
      <c r="R160" s="290"/>
    </row>
    <row r="161" spans="1:18" ht="19.5" customHeight="1">
      <c r="A161" s="279">
        <v>79</v>
      </c>
      <c r="B161" s="118">
        <f>IF(INDEX('参加者データ（要入力）'!$B$3:$O$102,79,2)="","",INDEX('参加者データ（要入力）'!$B$3:$O$102,79,2))</f>
      </c>
      <c r="C161" s="280">
        <f>IF(INDEX('参加者データ（要入力）'!$B$3:$O$102,79,3)="","",INDEX('参加者データ（要入力）'!$B$3:$O$102,79,3))</f>
      </c>
      <c r="D161" s="237">
        <f>IF(INDEX('参加者データ（要入力）'!$B$3:$O$102,79,4)="","",INDEX('参加者データ（要入力）'!$B$3:$O$102,79,4))</f>
      </c>
      <c r="E161" s="121">
        <f>IF(INDEX('参加者データ（要入力）'!$B$3:$O$102,79,5)="","",INDEX('参加者データ（要入力）'!$B$3:$O$102,79,5))</f>
      </c>
      <c r="F161" s="274">
        <f>IF(INDEX('参加者データ（要入力）'!$B$3:$O$102,79,9)="","",INDEX('参加者データ（要入力）'!$B$3:$O$102,79,9))</f>
      </c>
      <c r="G161" s="126"/>
      <c r="H161" s="131"/>
      <c r="I161" s="96">
        <f>IF(INDEX('参加者データ（要入力）'!$B$3:$O$102,79,11)="","",INDEX('参加者データ（要入力）'!$B$3:$O$102,79,11))</f>
      </c>
      <c r="J161" s="86" t="s">
        <v>96</v>
      </c>
      <c r="K161" s="97">
        <f>IF(INDEX('参加者データ（要入力）'!$B$3:$O$102,79,6)="","",INDEX('参加者データ（要入力）'!$B$3:$O$102,79,6))</f>
      </c>
      <c r="L161" s="87" t="s">
        <v>97</v>
      </c>
      <c r="M161" s="98">
        <f>IF(INDEX('参加者データ（要入力）'!$B$3:$O$102,79,8)="","",INDEX('参加者データ（要入力）'!$B$3:$O$102,79,8))</f>
      </c>
      <c r="N161" s="95">
        <f>IF(INDEX('参加者データ（要入力）'!$B$3:$O$102,79,12)="","",INDEX('参加者データ（要入力）'!$B$3:$O$102,79,12))</f>
      </c>
      <c r="O161" s="283">
        <f>IF(INDEX('参加者データ（要入力）'!$B$3:$P$102,79,14)="","",INDEX('参加者データ（要入力）'!$B$3:$P$102,79,14))</f>
      </c>
      <c r="P161" s="285">
        <f>IF(INDEX('参加者データ（要入力）'!$B$3:$P$102,79,15)="","",INDEX('参加者データ（要入力）'!$B$3:$P$102,79,15))</f>
      </c>
      <c r="Q161" s="286"/>
      <c r="R161" s="287"/>
    </row>
    <row r="162" spans="1:18" ht="31.5" customHeight="1">
      <c r="A162" s="279"/>
      <c r="B162" s="117">
        <f>IF(INDEX('参加者データ（要入力）'!$B$3:$O$102,79,1)="","",INDEX('参加者データ（要入力）'!$B$3:$O$102,79,1))</f>
      </c>
      <c r="C162" s="237"/>
      <c r="D162" s="237"/>
      <c r="E162" s="124">
        <f>IF(INDEX('参加者データ（要入力）'!$B$3:$O$102,79,5)="","",INDEX('参加者データ（要入力）'!$B$3:$O$102,79,5))</f>
      </c>
      <c r="F162" s="275"/>
      <c r="G162" s="127" t="s">
        <v>98</v>
      </c>
      <c r="H162" s="132">
        <f>IF(AND(C161="女",F161="A"),"尼","")</f>
      </c>
      <c r="I162" s="176">
        <f>IF(INDEX('参加者データ（要入力）'!$B$3:$O$102,79,10)="","",INDEX('参加者データ（要入力）'!$B$3:$O$102,79,10))</f>
      </c>
      <c r="J162" s="276">
        <f>IF(INDEX('参加者データ（要入力）'!$B$3:$O$102,79,7)="","",INDEX('参加者データ（要入力）'!$B$3:$O$102,79,7))</f>
      </c>
      <c r="K162" s="277" t="str">
        <f>INDEX('参加者データ（要入力）'!$B$2:$O$102,1,6)</f>
        <v>600-8308</v>
      </c>
      <c r="L162" s="277" t="str">
        <f>INDEX('参加者データ（要入力）'!$B$2:$O$102,1,6)</f>
        <v>600-8308</v>
      </c>
      <c r="M162" s="278" t="str">
        <f>INDEX('参加者データ（要入力）'!$B$2:$O$102,1,6)</f>
        <v>600-8308</v>
      </c>
      <c r="N162" s="99">
        <f>IF(INDEX('参加者データ（要入力）'!$B$3:$O$102,79,13)="","",INDEX('参加者データ（要入力）'!$B$3:$O$102,79,13))</f>
      </c>
      <c r="O162" s="284"/>
      <c r="P162" s="288"/>
      <c r="Q162" s="289"/>
      <c r="R162" s="290"/>
    </row>
    <row r="163" spans="1:18" ht="19.5" customHeight="1">
      <c r="A163" s="279">
        <v>80</v>
      </c>
      <c r="B163" s="118">
        <f>IF(INDEX('参加者データ（要入力）'!$B$3:$O$102,80,2)="","",INDEX('参加者データ（要入力）'!$B$3:$O$102,80,2))</f>
      </c>
      <c r="C163" s="280">
        <f>IF(INDEX('参加者データ（要入力）'!$B$3:$O$102,80,3)="","",INDEX('参加者データ（要入力）'!$B$3:$O$102,80,3))</f>
      </c>
      <c r="D163" s="280">
        <f>IF(INDEX('参加者データ（要入力）'!$B$3:$O$102,80,4)="","",INDEX('参加者データ（要入力）'!$B$3:$O$102,80,4))</f>
      </c>
      <c r="E163" s="121">
        <f>IF(INDEX('参加者データ（要入力）'!$B$3:$O$102,80,5)="","",INDEX('参加者データ（要入力）'!$B$3:$O$102,80,5))</f>
      </c>
      <c r="F163" s="274">
        <f>IF(INDEX('参加者データ（要入力）'!$B$3:$O$102,80,9)="","",INDEX('参加者データ（要入力）'!$B$3:$O$102,80,9))</f>
      </c>
      <c r="G163" s="126"/>
      <c r="H163" s="131"/>
      <c r="I163" s="96">
        <f>IF(INDEX('参加者データ（要入力）'!$B$3:$O$102,80,11)="","",INDEX('参加者データ（要入力）'!$B$3:$O$102,80,11))</f>
      </c>
      <c r="J163" s="86" t="s">
        <v>96</v>
      </c>
      <c r="K163" s="97">
        <f>IF(INDEX('参加者データ（要入力）'!$B$3:$O$102,80,6)="","",INDEX('参加者データ（要入力）'!$B$3:$O$102,80,6))</f>
      </c>
      <c r="L163" s="87" t="s">
        <v>97</v>
      </c>
      <c r="M163" s="98">
        <f>IF(INDEX('参加者データ（要入力）'!$B$3:$O$102,80,8)="","",INDEX('参加者データ（要入力）'!$B$3:$O$102,80,8))</f>
      </c>
      <c r="N163" s="95">
        <f>IF(INDEX('参加者データ（要入力）'!$B$3:$O$102,80,12)="","",INDEX('参加者データ（要入力）'!$B$3:$O$102,80,12))</f>
      </c>
      <c r="O163" s="283">
        <f>IF(INDEX('参加者データ（要入力）'!$B$3:$P$102,80,14)="","",INDEX('参加者データ（要入力）'!$B$3:$P$102,80,14))</f>
      </c>
      <c r="P163" s="285">
        <f>IF(INDEX('参加者データ（要入力）'!$B$3:$P$102,80,15)="","",INDEX('参加者データ（要入力）'!$B$3:$P$102,80,15))</f>
      </c>
      <c r="Q163" s="286"/>
      <c r="R163" s="287"/>
    </row>
    <row r="164" spans="1:18" ht="31.5" customHeight="1">
      <c r="A164" s="279"/>
      <c r="B164" s="117">
        <f>IF(INDEX('参加者データ（要入力）'!$B$3:$O$102,80,1)="","",INDEX('参加者データ（要入力）'!$B$3:$O$102,80,1))</f>
      </c>
      <c r="C164" s="237"/>
      <c r="D164" s="237"/>
      <c r="E164" s="124">
        <f>IF(INDEX('参加者データ（要入力）'!$B$3:$O$102,80,5)="","",INDEX('参加者データ（要入力）'!$B$3:$O$102,80,5))</f>
      </c>
      <c r="F164" s="275"/>
      <c r="G164" s="127" t="s">
        <v>98</v>
      </c>
      <c r="H164" s="132">
        <f>IF(AND(C163="女",F163="A"),"尼","")</f>
      </c>
      <c r="I164" s="176">
        <f>IF(INDEX('参加者データ（要入力）'!$B$3:$O$102,80,10)="","",INDEX('参加者データ（要入力）'!$B$3:$O$102,80,10))</f>
      </c>
      <c r="J164" s="276">
        <f>IF(INDEX('参加者データ（要入力）'!$B$3:$O$102,80,7)="","",INDEX('参加者データ（要入力）'!$B$3:$O$102,80,7))</f>
      </c>
      <c r="K164" s="277" t="str">
        <f>INDEX('参加者データ（要入力）'!$B$2:$O$102,1,6)</f>
        <v>600-8308</v>
      </c>
      <c r="L164" s="277" t="str">
        <f>INDEX('参加者データ（要入力）'!$B$2:$O$102,1,6)</f>
        <v>600-8308</v>
      </c>
      <c r="M164" s="278" t="str">
        <f>INDEX('参加者データ（要入力）'!$B$2:$O$102,1,6)</f>
        <v>600-8308</v>
      </c>
      <c r="N164" s="99">
        <f>IF(INDEX('参加者データ（要入力）'!$B$3:$O$102,80,13)="","",INDEX('参加者データ（要入力）'!$B$3:$O$102,80,13))</f>
      </c>
      <c r="O164" s="284"/>
      <c r="P164" s="288"/>
      <c r="Q164" s="289"/>
      <c r="R164" s="290"/>
    </row>
    <row r="165" spans="1:18" ht="19.5" customHeight="1">
      <c r="A165" s="279">
        <v>81</v>
      </c>
      <c r="B165" s="118">
        <f>IF(INDEX('参加者データ（要入力）'!$B$3:$O$102,81,2)="","",INDEX('参加者データ（要入力）'!$B$3:$O$102,81,2))</f>
      </c>
      <c r="C165" s="280">
        <f>IF(INDEX('参加者データ（要入力）'!$B$3:$O$102,81,3)="","",INDEX('参加者データ（要入力）'!$B$3:$O$102,81,3))</f>
      </c>
      <c r="D165" s="237">
        <f>IF(INDEX('参加者データ（要入力）'!$B$3:$O$102,81,4)="","",INDEX('参加者データ（要入力）'!$B$3:$O$102,81,4))</f>
      </c>
      <c r="E165" s="121">
        <f>IF(INDEX('参加者データ（要入力）'!$B$3:$O$102,81,5)="","",INDEX('参加者データ（要入力）'!$B$3:$O$102,81,5))</f>
      </c>
      <c r="F165" s="274">
        <f>IF(INDEX('参加者データ（要入力）'!$B$3:$O$102,81,9)="","",INDEX('参加者データ（要入力）'!$B$3:$O$102,81,9))</f>
      </c>
      <c r="G165" s="126"/>
      <c r="H165" s="131"/>
      <c r="I165" s="96">
        <f>IF(INDEX('参加者データ（要入力）'!$B$3:$O$102,81,11)="","",INDEX('参加者データ（要入力）'!$B$3:$O$102,81,11))</f>
      </c>
      <c r="J165" s="86" t="s">
        <v>96</v>
      </c>
      <c r="K165" s="97">
        <f>IF(INDEX('参加者データ（要入力）'!$B$3:$O$102,81,6)="","",INDEX('参加者データ（要入力）'!$B$3:$O$102,81,6))</f>
      </c>
      <c r="L165" s="87" t="s">
        <v>97</v>
      </c>
      <c r="M165" s="98">
        <f>IF(INDEX('参加者データ（要入力）'!$B$3:$O$102,81,8)="","",INDEX('参加者データ（要入力）'!$B$3:$O$102,81,8))</f>
      </c>
      <c r="N165" s="95">
        <f>IF(INDEX('参加者データ（要入力）'!$B$3:$O$102,81,12)="","",INDEX('参加者データ（要入力）'!$B$3:$O$102,81,12))</f>
      </c>
      <c r="O165" s="283">
        <f>IF(INDEX('参加者データ（要入力）'!$B$3:$P$102,81,14)="","",INDEX('参加者データ（要入力）'!$B$3:$P$102,81,14))</f>
      </c>
      <c r="P165" s="285">
        <f>IF(INDEX('参加者データ（要入力）'!$B$3:$P$102,81,15)="","",INDEX('参加者データ（要入力）'!$B$3:$P$102,81,15))</f>
      </c>
      <c r="Q165" s="286"/>
      <c r="R165" s="287"/>
    </row>
    <row r="166" spans="1:18" ht="31.5" customHeight="1">
      <c r="A166" s="279"/>
      <c r="B166" s="117">
        <f>IF(INDEX('参加者データ（要入力）'!$B$3:$O$102,81,1)="","",INDEX('参加者データ（要入力）'!$B$3:$O$102,81,1))</f>
      </c>
      <c r="C166" s="237"/>
      <c r="D166" s="237"/>
      <c r="E166" s="124">
        <f>IF(INDEX('参加者データ（要入力）'!$B$3:$O$102,81,5)="","",INDEX('参加者データ（要入力）'!$B$3:$O$102,81,5))</f>
      </c>
      <c r="F166" s="275"/>
      <c r="G166" s="127" t="s">
        <v>98</v>
      </c>
      <c r="H166" s="132">
        <f>IF(AND(C165="女",F165="A"),"尼","")</f>
      </c>
      <c r="I166" s="176">
        <f>IF(INDEX('参加者データ（要入力）'!$B$3:$O$102,81,10)="","",INDEX('参加者データ（要入力）'!$B$3:$O$102,81,10))</f>
      </c>
      <c r="J166" s="276">
        <f>IF(INDEX('参加者データ（要入力）'!$B$3:$O$102,81,7)="","",INDEX('参加者データ（要入力）'!$B$3:$O$102,81,7))</f>
      </c>
      <c r="K166" s="277" t="str">
        <f>INDEX('参加者データ（要入力）'!$B$2:$O$102,1,6)</f>
        <v>600-8308</v>
      </c>
      <c r="L166" s="277" t="str">
        <f>INDEX('参加者データ（要入力）'!$B$2:$O$102,1,6)</f>
        <v>600-8308</v>
      </c>
      <c r="M166" s="278" t="str">
        <f>INDEX('参加者データ（要入力）'!$B$2:$O$102,1,6)</f>
        <v>600-8308</v>
      </c>
      <c r="N166" s="99">
        <f>IF(INDEX('参加者データ（要入力）'!$B$3:$O$102,81,13)="","",INDEX('参加者データ（要入力）'!$B$3:$O$102,81,13))</f>
      </c>
      <c r="O166" s="284"/>
      <c r="P166" s="288"/>
      <c r="Q166" s="289"/>
      <c r="R166" s="290"/>
    </row>
    <row r="167" spans="1:18" ht="19.5" customHeight="1">
      <c r="A167" s="279">
        <v>82</v>
      </c>
      <c r="B167" s="118">
        <f>IF(INDEX('参加者データ（要入力）'!$B$3:$O$102,82,2)="","",INDEX('参加者データ（要入力）'!$B$3:$O$102,82,2))</f>
      </c>
      <c r="C167" s="280">
        <f>IF(INDEX('参加者データ（要入力）'!$B$3:$O$102,82,3)="","",INDEX('参加者データ（要入力）'!$B$3:$O$102,82,3))</f>
      </c>
      <c r="D167" s="280">
        <f>IF(INDEX('参加者データ（要入力）'!$B$3:$O$102,82,4)="","",INDEX('参加者データ（要入力）'!$B$3:$O$102,82,4))</f>
      </c>
      <c r="E167" s="121">
        <f>IF(INDEX('参加者データ（要入力）'!$B$3:$O$102,82,5)="","",INDEX('参加者データ（要入力）'!$B$3:$O$102,82,5))</f>
      </c>
      <c r="F167" s="274">
        <f>IF(INDEX('参加者データ（要入力）'!$B$3:$O$102,82,9)="","",INDEX('参加者データ（要入力）'!$B$3:$O$102,82,9))</f>
      </c>
      <c r="G167" s="126"/>
      <c r="H167" s="131"/>
      <c r="I167" s="96">
        <f>IF(INDEX('参加者データ（要入力）'!$B$3:$O$102,82,11)="","",INDEX('参加者データ（要入力）'!$B$3:$O$102,82,11))</f>
      </c>
      <c r="J167" s="86" t="s">
        <v>96</v>
      </c>
      <c r="K167" s="97">
        <f>IF(INDEX('参加者データ（要入力）'!$B$3:$O$102,82,6)="","",INDEX('参加者データ（要入力）'!$B$3:$O$102,82,6))</f>
      </c>
      <c r="L167" s="87" t="s">
        <v>97</v>
      </c>
      <c r="M167" s="98">
        <f>IF(INDEX('参加者データ（要入力）'!$B$3:$O$102,82,8)="","",INDEX('参加者データ（要入力）'!$B$3:$O$102,82,8))</f>
      </c>
      <c r="N167" s="95">
        <f>IF(INDEX('参加者データ（要入力）'!$B$3:$O$102,82,12)="","",INDEX('参加者データ（要入力）'!$B$3:$O$102,82,12))</f>
      </c>
      <c r="O167" s="283">
        <f>IF(INDEX('参加者データ（要入力）'!$B$3:$P$102,82,14)="","",INDEX('参加者データ（要入力）'!$B$3:$P$102,82,14))</f>
      </c>
      <c r="P167" s="285">
        <f>IF(INDEX('参加者データ（要入力）'!$B$3:$P$102,82,15)="","",INDEX('参加者データ（要入力）'!$B$3:$P$102,82,15))</f>
      </c>
      <c r="Q167" s="286"/>
      <c r="R167" s="287"/>
    </row>
    <row r="168" spans="1:18" ht="31.5" customHeight="1">
      <c r="A168" s="279"/>
      <c r="B168" s="117">
        <f>IF(INDEX('参加者データ（要入力）'!$B$3:$O$102,82,1)="","",INDEX('参加者データ（要入力）'!$B$3:$O$102,82,1))</f>
      </c>
      <c r="C168" s="237"/>
      <c r="D168" s="237"/>
      <c r="E168" s="124">
        <f>IF(INDEX('参加者データ（要入力）'!$B$3:$O$102,82,5)="","",INDEX('参加者データ（要入力）'!$B$3:$O$102,82,5))</f>
      </c>
      <c r="F168" s="275"/>
      <c r="G168" s="127" t="s">
        <v>98</v>
      </c>
      <c r="H168" s="132">
        <f>IF(AND(C167="女",F167="A"),"尼","")</f>
      </c>
      <c r="I168" s="176">
        <f>IF(INDEX('参加者データ（要入力）'!$B$3:$O$102,82,10)="","",INDEX('参加者データ（要入力）'!$B$3:$O$102,82,10))</f>
      </c>
      <c r="J168" s="276">
        <f>IF(INDEX('参加者データ（要入力）'!$B$3:$O$102,82,7)="","",INDEX('参加者データ（要入力）'!$B$3:$O$102,82,7))</f>
      </c>
      <c r="K168" s="277" t="str">
        <f>INDEX('参加者データ（要入力）'!$B$2:$O$102,1,6)</f>
        <v>600-8308</v>
      </c>
      <c r="L168" s="277" t="str">
        <f>INDEX('参加者データ（要入力）'!$B$2:$O$102,1,6)</f>
        <v>600-8308</v>
      </c>
      <c r="M168" s="278" t="str">
        <f>INDEX('参加者データ（要入力）'!$B$2:$O$102,1,6)</f>
        <v>600-8308</v>
      </c>
      <c r="N168" s="99">
        <f>IF(INDEX('参加者データ（要入力）'!$B$3:$O$102,82,13)="","",INDEX('参加者データ（要入力）'!$B$3:$O$102,82,13))</f>
      </c>
      <c r="O168" s="284"/>
      <c r="P168" s="288"/>
      <c r="Q168" s="289"/>
      <c r="R168" s="290"/>
    </row>
    <row r="169" spans="1:18" ht="19.5" customHeight="1">
      <c r="A169" s="279">
        <v>83</v>
      </c>
      <c r="B169" s="118">
        <f>IF(INDEX('参加者データ（要入力）'!$B$3:$O$102,83,2)="","",INDEX('参加者データ（要入力）'!$B$3:$O$102,83,2))</f>
      </c>
      <c r="C169" s="280">
        <f>IF(INDEX('参加者データ（要入力）'!$B$3:$O$102,83,3)="","",INDEX('参加者データ（要入力）'!$B$3:$O$102,83,3))</f>
      </c>
      <c r="D169" s="237">
        <f>IF(INDEX('参加者データ（要入力）'!$B$3:$O$102,83,4)="","",INDEX('参加者データ（要入力）'!$B$3:$O$102,83,4))</f>
      </c>
      <c r="E169" s="121">
        <f>IF(INDEX('参加者データ（要入力）'!$B$3:$O$102,83,5)="","",INDEX('参加者データ（要入力）'!$B$3:$O$102,83,5))</f>
      </c>
      <c r="F169" s="274">
        <f>IF(INDEX('参加者データ（要入力）'!$B$3:$O$102,83,9)="","",INDEX('参加者データ（要入力）'!$B$3:$O$102,83,9))</f>
      </c>
      <c r="G169" s="126"/>
      <c r="H169" s="131"/>
      <c r="I169" s="96">
        <f>IF(INDEX('参加者データ（要入力）'!$B$3:$O$102,83,11)="","",INDEX('参加者データ（要入力）'!$B$3:$O$102,83,11))</f>
      </c>
      <c r="J169" s="86" t="s">
        <v>96</v>
      </c>
      <c r="K169" s="97">
        <f>IF(INDEX('参加者データ（要入力）'!$B$3:$O$102,83,6)="","",INDEX('参加者データ（要入力）'!$B$3:$O$102,83,6))</f>
      </c>
      <c r="L169" s="87" t="s">
        <v>97</v>
      </c>
      <c r="M169" s="98">
        <f>IF(INDEX('参加者データ（要入力）'!$B$3:$O$102,83,8)="","",INDEX('参加者データ（要入力）'!$B$3:$O$102,83,8))</f>
      </c>
      <c r="N169" s="95">
        <f>IF(INDEX('参加者データ（要入力）'!$B$3:$O$102,83,12)="","",INDEX('参加者データ（要入力）'!$B$3:$O$102,83,12))</f>
      </c>
      <c r="O169" s="283">
        <f>IF(INDEX('参加者データ（要入力）'!$B$3:$P$102,83,14)="","",INDEX('参加者データ（要入力）'!$B$3:$P$102,83,14))</f>
      </c>
      <c r="P169" s="285">
        <f>IF(INDEX('参加者データ（要入力）'!$B$3:$P$102,83,15)="","",INDEX('参加者データ（要入力）'!$B$3:$P$102,83,15))</f>
      </c>
      <c r="Q169" s="286"/>
      <c r="R169" s="287"/>
    </row>
    <row r="170" spans="1:18" ht="31.5" customHeight="1">
      <c r="A170" s="279"/>
      <c r="B170" s="117">
        <f>IF(INDEX('参加者データ（要入力）'!$B$3:$O$102,83,1)="","",INDEX('参加者データ（要入力）'!$B$3:$O$102,83,1))</f>
      </c>
      <c r="C170" s="237"/>
      <c r="D170" s="237"/>
      <c r="E170" s="124">
        <f>IF(INDEX('参加者データ（要入力）'!$B$3:$O$102,83,5)="","",INDEX('参加者データ（要入力）'!$B$3:$O$102,83,5))</f>
      </c>
      <c r="F170" s="275"/>
      <c r="G170" s="127" t="s">
        <v>98</v>
      </c>
      <c r="H170" s="132">
        <f>IF(AND(C169="女",F169="A"),"尼","")</f>
      </c>
      <c r="I170" s="176">
        <f>IF(INDEX('参加者データ（要入力）'!$B$3:$O$102,83,10)="","",INDEX('参加者データ（要入力）'!$B$3:$O$102,83,10))</f>
      </c>
      <c r="J170" s="276">
        <f>IF(INDEX('参加者データ（要入力）'!$B$3:$O$102,83,7)="","",INDEX('参加者データ（要入力）'!$B$3:$O$102,83,7))</f>
      </c>
      <c r="K170" s="277" t="str">
        <f>INDEX('参加者データ（要入力）'!$B$2:$O$102,1,6)</f>
        <v>600-8308</v>
      </c>
      <c r="L170" s="277" t="str">
        <f>INDEX('参加者データ（要入力）'!$B$2:$O$102,1,6)</f>
        <v>600-8308</v>
      </c>
      <c r="M170" s="278" t="str">
        <f>INDEX('参加者データ（要入力）'!$B$2:$O$102,1,6)</f>
        <v>600-8308</v>
      </c>
      <c r="N170" s="99">
        <f>IF(INDEX('参加者データ（要入力）'!$B$3:$O$102,83,13)="","",INDEX('参加者データ（要入力）'!$B$3:$O$102,83,13))</f>
      </c>
      <c r="O170" s="284"/>
      <c r="P170" s="288"/>
      <c r="Q170" s="289"/>
      <c r="R170" s="290"/>
    </row>
    <row r="171" spans="1:18" ht="19.5" customHeight="1">
      <c r="A171" s="279">
        <v>84</v>
      </c>
      <c r="B171" s="118">
        <f>IF(INDEX('参加者データ（要入力）'!$B$3:$O$102,84,2)="","",INDEX('参加者データ（要入力）'!$B$3:$O$102,84,2))</f>
      </c>
      <c r="C171" s="280">
        <f>IF(INDEX('参加者データ（要入力）'!$B$3:$O$102,84,3)="","",INDEX('参加者データ（要入力）'!$B$3:$O$102,84,3))</f>
      </c>
      <c r="D171" s="280">
        <f>IF(INDEX('参加者データ（要入力）'!$B$3:$O$102,84,4)="","",INDEX('参加者データ（要入力）'!$B$3:$O$102,84,4))</f>
      </c>
      <c r="E171" s="121">
        <f>IF(INDEX('参加者データ（要入力）'!$B$3:$O$102,84,5)="","",INDEX('参加者データ（要入力）'!$B$3:$O$102,84,5))</f>
      </c>
      <c r="F171" s="274">
        <f>IF(INDEX('参加者データ（要入力）'!$B$3:$O$102,84,9)="","",INDEX('参加者データ（要入力）'!$B$3:$O$102,84,9))</f>
      </c>
      <c r="G171" s="126"/>
      <c r="H171" s="131"/>
      <c r="I171" s="96">
        <f>IF(INDEX('参加者データ（要入力）'!$B$3:$O$102,84,11)="","",INDEX('参加者データ（要入力）'!$B$3:$O$102,84,11))</f>
      </c>
      <c r="J171" s="86" t="s">
        <v>96</v>
      </c>
      <c r="K171" s="97">
        <f>IF(INDEX('参加者データ（要入力）'!$B$3:$O$102,84,6)="","",INDEX('参加者データ（要入力）'!$B$3:$O$102,84,6))</f>
      </c>
      <c r="L171" s="87" t="s">
        <v>97</v>
      </c>
      <c r="M171" s="98">
        <f>IF(INDEX('参加者データ（要入力）'!$B$3:$O$102,84,8)="","",INDEX('参加者データ（要入力）'!$B$3:$O$102,84,8))</f>
      </c>
      <c r="N171" s="95">
        <f>IF(INDEX('参加者データ（要入力）'!$B$3:$O$102,84,12)="","",INDEX('参加者データ（要入力）'!$B$3:$O$102,84,12))</f>
      </c>
      <c r="O171" s="283">
        <f>IF(INDEX('参加者データ（要入力）'!$B$3:$P$102,84,14)="","",INDEX('参加者データ（要入力）'!$B$3:$P$102,84,14))</f>
      </c>
      <c r="P171" s="285">
        <f>IF(INDEX('参加者データ（要入力）'!$B$3:$P$102,84,15)="","",INDEX('参加者データ（要入力）'!$B$3:$P$102,84,15))</f>
      </c>
      <c r="Q171" s="286"/>
      <c r="R171" s="287"/>
    </row>
    <row r="172" spans="1:18" ht="31.5" customHeight="1">
      <c r="A172" s="279"/>
      <c r="B172" s="117">
        <f>IF(INDEX('参加者データ（要入力）'!$B$3:$O$102,84,1)="","",INDEX('参加者データ（要入力）'!$B$3:$O$102,84,1))</f>
      </c>
      <c r="C172" s="237"/>
      <c r="D172" s="237"/>
      <c r="E172" s="124">
        <f>IF(INDEX('参加者データ（要入力）'!$B$3:$O$102,84,5)="","",INDEX('参加者データ（要入力）'!$B$3:$O$102,84,5))</f>
      </c>
      <c r="F172" s="275"/>
      <c r="G172" s="127" t="s">
        <v>98</v>
      </c>
      <c r="H172" s="132">
        <f>IF(AND(C171="女",F171="A"),"尼","")</f>
      </c>
      <c r="I172" s="176">
        <f>IF(INDEX('参加者データ（要入力）'!$B$3:$O$102,84,10)="","",INDEX('参加者データ（要入力）'!$B$3:$O$102,84,10))</f>
      </c>
      <c r="J172" s="276">
        <f>IF(INDEX('参加者データ（要入力）'!$B$3:$O$102,84,7)="","",INDEX('参加者データ（要入力）'!$B$3:$O$102,84,7))</f>
      </c>
      <c r="K172" s="277" t="str">
        <f>INDEX('参加者データ（要入力）'!$B$2:$O$102,1,6)</f>
        <v>600-8308</v>
      </c>
      <c r="L172" s="277" t="str">
        <f>INDEX('参加者データ（要入力）'!$B$2:$O$102,1,6)</f>
        <v>600-8308</v>
      </c>
      <c r="M172" s="278" t="str">
        <f>INDEX('参加者データ（要入力）'!$B$2:$O$102,1,6)</f>
        <v>600-8308</v>
      </c>
      <c r="N172" s="99">
        <f>IF(INDEX('参加者データ（要入力）'!$B$3:$O$102,84,13)="","",INDEX('参加者データ（要入力）'!$B$3:$O$102,84,13))</f>
      </c>
      <c r="O172" s="284"/>
      <c r="P172" s="288"/>
      <c r="Q172" s="289"/>
      <c r="R172" s="290"/>
    </row>
    <row r="173" spans="1:18" ht="19.5" customHeight="1">
      <c r="A173" s="279">
        <v>85</v>
      </c>
      <c r="B173" s="118">
        <f>IF(INDEX('参加者データ（要入力）'!$B$3:$O$102,85,2)="","",INDEX('参加者データ（要入力）'!$B$3:$O$102,85,2))</f>
      </c>
      <c r="C173" s="280">
        <f>IF(INDEX('参加者データ（要入力）'!$B$3:$O$102,85,3)="","",INDEX('参加者データ（要入力）'!$B$3:$O$102,85,3))</f>
      </c>
      <c r="D173" s="237">
        <f>IF(INDEX('参加者データ（要入力）'!$B$3:$O$102,85,4)="","",INDEX('参加者データ（要入力）'!$B$3:$O$102,85,4))</f>
      </c>
      <c r="E173" s="121">
        <f>IF(INDEX('参加者データ（要入力）'!$B$3:$O$102,85,5)="","",INDEX('参加者データ（要入力）'!$B$3:$O$102,85,5))</f>
      </c>
      <c r="F173" s="274">
        <f>IF(INDEX('参加者データ（要入力）'!$B$3:$O$102,85,9)="","",INDEX('参加者データ（要入力）'!$B$3:$O$102,85,9))</f>
      </c>
      <c r="G173" s="126"/>
      <c r="H173" s="131"/>
      <c r="I173" s="96">
        <f>IF(INDEX('参加者データ（要入力）'!$B$3:$O$102,85,11)="","",INDEX('参加者データ（要入力）'!$B$3:$O$102,85,11))</f>
      </c>
      <c r="J173" s="86" t="s">
        <v>96</v>
      </c>
      <c r="K173" s="97">
        <f>IF(INDEX('参加者データ（要入力）'!$B$3:$O$102,85,6)="","",INDEX('参加者データ（要入力）'!$B$3:$O$102,85,6))</f>
      </c>
      <c r="L173" s="87" t="s">
        <v>97</v>
      </c>
      <c r="M173" s="98">
        <f>IF(INDEX('参加者データ（要入力）'!$B$3:$O$102,85,8)="","",INDEX('参加者データ（要入力）'!$B$3:$O$102,85,8))</f>
      </c>
      <c r="N173" s="95">
        <f>IF(INDEX('参加者データ（要入力）'!$B$3:$O$102,85,12)="","",INDEX('参加者データ（要入力）'!$B$3:$O$102,85,12))</f>
      </c>
      <c r="O173" s="283">
        <f>IF(INDEX('参加者データ（要入力）'!$B$3:$P$102,85,14)="","",INDEX('参加者データ（要入力）'!$B$3:$P$102,85,14))</f>
      </c>
      <c r="P173" s="285">
        <f>IF(INDEX('参加者データ（要入力）'!$B$3:$P$102,85,15)="","",INDEX('参加者データ（要入力）'!$B$3:$P$102,85,15))</f>
      </c>
      <c r="Q173" s="286"/>
      <c r="R173" s="287"/>
    </row>
    <row r="174" spans="1:18" ht="31.5" customHeight="1">
      <c r="A174" s="279"/>
      <c r="B174" s="117">
        <f>IF(INDEX('参加者データ（要入力）'!$B$3:$O$102,85,1)="","",INDEX('参加者データ（要入力）'!$B$3:$O$102,85,1))</f>
      </c>
      <c r="C174" s="237"/>
      <c r="D174" s="237"/>
      <c r="E174" s="124">
        <f>IF(INDEX('参加者データ（要入力）'!$B$3:$O$102,85,5)="","",INDEX('参加者データ（要入力）'!$B$3:$O$102,85,5))</f>
      </c>
      <c r="F174" s="275"/>
      <c r="G174" s="127" t="s">
        <v>98</v>
      </c>
      <c r="H174" s="132">
        <f>IF(AND(C173="女",F173="A"),"尼","")</f>
      </c>
      <c r="I174" s="176">
        <f>IF(INDEX('参加者データ（要入力）'!$B$3:$O$102,85,10)="","",INDEX('参加者データ（要入力）'!$B$3:$O$102,85,10))</f>
      </c>
      <c r="J174" s="276">
        <f>IF(INDEX('参加者データ（要入力）'!$B$3:$O$102,85,7)="","",INDEX('参加者データ（要入力）'!$B$3:$O$102,85,7))</f>
      </c>
      <c r="K174" s="277" t="str">
        <f>INDEX('参加者データ（要入力）'!$B$2:$O$102,1,6)</f>
        <v>600-8308</v>
      </c>
      <c r="L174" s="277" t="str">
        <f>INDEX('参加者データ（要入力）'!$B$2:$O$102,1,6)</f>
        <v>600-8308</v>
      </c>
      <c r="M174" s="278" t="str">
        <f>INDEX('参加者データ（要入力）'!$B$2:$O$102,1,6)</f>
        <v>600-8308</v>
      </c>
      <c r="N174" s="99">
        <f>IF(INDEX('参加者データ（要入力）'!$B$3:$O$102,85,13)="","",INDEX('参加者データ（要入力）'!$B$3:$O$102,85,13))</f>
      </c>
      <c r="O174" s="284"/>
      <c r="P174" s="288"/>
      <c r="Q174" s="289"/>
      <c r="R174" s="290"/>
    </row>
    <row r="175" spans="1:18" ht="19.5" customHeight="1">
      <c r="A175" s="279">
        <v>86</v>
      </c>
      <c r="B175" s="118">
        <f>IF(INDEX('参加者データ（要入力）'!$B$3:$O$102,86,2)="","",INDEX('参加者データ（要入力）'!$B$3:$O$102,86,2))</f>
      </c>
      <c r="C175" s="280">
        <f>IF(INDEX('参加者データ（要入力）'!$B$3:$O$102,86,3)="","",INDEX('参加者データ（要入力）'!$B$3:$O$102,86,3))</f>
      </c>
      <c r="D175" s="280">
        <f>IF(INDEX('参加者データ（要入力）'!$B$3:$O$102,86,4)="","",INDEX('参加者データ（要入力）'!$B$3:$O$102,86,4))</f>
      </c>
      <c r="E175" s="121">
        <f>IF(INDEX('参加者データ（要入力）'!$B$3:$O$102,86,5)="","",INDEX('参加者データ（要入力）'!$B$3:$O$102,86,5))</f>
      </c>
      <c r="F175" s="274">
        <f>IF(INDEX('参加者データ（要入力）'!$B$3:$O$102,86,9)="","",INDEX('参加者データ（要入力）'!$B$3:$O$102,86,9))</f>
      </c>
      <c r="G175" s="126"/>
      <c r="H175" s="131"/>
      <c r="I175" s="96">
        <f>IF(INDEX('参加者データ（要入力）'!$B$3:$O$102,86,11)="","",INDEX('参加者データ（要入力）'!$B$3:$O$102,86,11))</f>
      </c>
      <c r="J175" s="86" t="s">
        <v>96</v>
      </c>
      <c r="K175" s="97">
        <f>IF(INDEX('参加者データ（要入力）'!$B$3:$O$102,86,6)="","",INDEX('参加者データ（要入力）'!$B$3:$O$102,86,6))</f>
      </c>
      <c r="L175" s="87" t="s">
        <v>97</v>
      </c>
      <c r="M175" s="98">
        <f>IF(INDEX('参加者データ（要入力）'!$B$3:$O$102,86,8)="","",INDEX('参加者データ（要入力）'!$B$3:$O$102,86,8))</f>
      </c>
      <c r="N175" s="95">
        <f>IF(INDEX('参加者データ（要入力）'!$B$3:$O$102,86,12)="","",INDEX('参加者データ（要入力）'!$B$3:$O$102,86,12))</f>
      </c>
      <c r="O175" s="283">
        <f>IF(INDEX('参加者データ（要入力）'!$B$3:$P$102,86,14)="","",INDEX('参加者データ（要入力）'!$B$3:$P$102,86,14))</f>
      </c>
      <c r="P175" s="285">
        <f>IF(INDEX('参加者データ（要入力）'!$B$3:$P$102,86,15)="","",INDEX('参加者データ（要入力）'!$B$3:$P$102,86,15))</f>
      </c>
      <c r="Q175" s="286"/>
      <c r="R175" s="287"/>
    </row>
    <row r="176" spans="1:18" ht="31.5" customHeight="1">
      <c r="A176" s="279"/>
      <c r="B176" s="117">
        <f>IF(INDEX('参加者データ（要入力）'!$B$3:$O$102,86,1)="","",INDEX('参加者データ（要入力）'!$B$3:$O$102,86,1))</f>
      </c>
      <c r="C176" s="237"/>
      <c r="D176" s="237"/>
      <c r="E176" s="124">
        <f>IF(INDEX('参加者データ（要入力）'!$B$3:$O$102,86,5)="","",INDEX('参加者データ（要入力）'!$B$3:$O$102,86,5))</f>
      </c>
      <c r="F176" s="275"/>
      <c r="G176" s="127" t="s">
        <v>98</v>
      </c>
      <c r="H176" s="132">
        <f>IF(AND(C175="女",F175="A"),"尼","")</f>
      </c>
      <c r="I176" s="176">
        <f>IF(INDEX('参加者データ（要入力）'!$B$3:$O$102,86,10)="","",INDEX('参加者データ（要入力）'!$B$3:$O$102,86,10))</f>
      </c>
      <c r="J176" s="276">
        <f>IF(INDEX('参加者データ（要入力）'!$B$3:$O$102,86,7)="","",INDEX('参加者データ（要入力）'!$B$3:$O$102,86,7))</f>
      </c>
      <c r="K176" s="277" t="str">
        <f>INDEX('参加者データ（要入力）'!$B$2:$O$102,1,6)</f>
        <v>600-8308</v>
      </c>
      <c r="L176" s="277" t="str">
        <f>INDEX('参加者データ（要入力）'!$B$2:$O$102,1,6)</f>
        <v>600-8308</v>
      </c>
      <c r="M176" s="278" t="str">
        <f>INDEX('参加者データ（要入力）'!$B$2:$O$102,1,6)</f>
        <v>600-8308</v>
      </c>
      <c r="N176" s="99">
        <f>IF(INDEX('参加者データ（要入力）'!$B$3:$O$102,86,13)="","",INDEX('参加者データ（要入力）'!$B$3:$O$102,86,13))</f>
      </c>
      <c r="O176" s="284"/>
      <c r="P176" s="288"/>
      <c r="Q176" s="289"/>
      <c r="R176" s="290"/>
    </row>
    <row r="177" spans="1:18" ht="19.5" customHeight="1">
      <c r="A177" s="279">
        <v>87</v>
      </c>
      <c r="B177" s="118">
        <f>IF(INDEX('参加者データ（要入力）'!$B$3:$O$102,87,2)="","",INDEX('参加者データ（要入力）'!$B$3:$O$102,87,2))</f>
      </c>
      <c r="C177" s="280">
        <f>IF(INDEX('参加者データ（要入力）'!$B$3:$O$102,87,3)="","",INDEX('参加者データ（要入力）'!$B$3:$O$102,87,3))</f>
      </c>
      <c r="D177" s="237">
        <f>IF(INDEX('参加者データ（要入力）'!$B$3:$O$102,87,4)="","",INDEX('参加者データ（要入力）'!$B$3:$O$102,87,4))</f>
      </c>
      <c r="E177" s="121">
        <f>IF(INDEX('参加者データ（要入力）'!$B$3:$O$102,87,5)="","",INDEX('参加者データ（要入力）'!$B$3:$O$102,87,5))</f>
      </c>
      <c r="F177" s="274">
        <f>IF(INDEX('参加者データ（要入力）'!$B$3:$O$102,87,9)="","",INDEX('参加者データ（要入力）'!$B$3:$O$102,87,9))</f>
      </c>
      <c r="G177" s="126"/>
      <c r="H177" s="131"/>
      <c r="I177" s="96">
        <f>IF(INDEX('参加者データ（要入力）'!$B$3:$O$102,87,11)="","",INDEX('参加者データ（要入力）'!$B$3:$O$102,87,11))</f>
      </c>
      <c r="J177" s="86" t="s">
        <v>96</v>
      </c>
      <c r="K177" s="97">
        <f>IF(INDEX('参加者データ（要入力）'!$B$3:$O$102,87,6)="","",INDEX('参加者データ（要入力）'!$B$3:$O$102,87,6))</f>
      </c>
      <c r="L177" s="87" t="s">
        <v>97</v>
      </c>
      <c r="M177" s="98">
        <f>IF(INDEX('参加者データ（要入力）'!$B$3:$O$102,87,8)="","",INDEX('参加者データ（要入力）'!$B$3:$O$102,87,8))</f>
      </c>
      <c r="N177" s="95">
        <f>IF(INDEX('参加者データ（要入力）'!$B$3:$O$102,87,12)="","",INDEX('参加者データ（要入力）'!$B$3:$O$102,87,12))</f>
      </c>
      <c r="O177" s="283">
        <f>IF(INDEX('参加者データ（要入力）'!$B$3:$P$102,87,14)="","",INDEX('参加者データ（要入力）'!$B$3:$P$102,87,14))</f>
      </c>
      <c r="P177" s="285">
        <f>IF(INDEX('参加者データ（要入力）'!$B$3:$P$102,87,15)="","",INDEX('参加者データ（要入力）'!$B$3:$P$102,87,15))</f>
      </c>
      <c r="Q177" s="286"/>
      <c r="R177" s="287"/>
    </row>
    <row r="178" spans="1:18" ht="31.5" customHeight="1">
      <c r="A178" s="279"/>
      <c r="B178" s="117">
        <f>IF(INDEX('参加者データ（要入力）'!$B$3:$O$102,87,1)="","",INDEX('参加者データ（要入力）'!$B$3:$O$102,87,1))</f>
      </c>
      <c r="C178" s="237"/>
      <c r="D178" s="237"/>
      <c r="E178" s="124">
        <f>IF(INDEX('参加者データ（要入力）'!$B$3:$O$102,87,5)="","",INDEX('参加者データ（要入力）'!$B$3:$O$102,87,5))</f>
      </c>
      <c r="F178" s="275"/>
      <c r="G178" s="127" t="s">
        <v>98</v>
      </c>
      <c r="H178" s="132">
        <f>IF(AND(C177="女",F177="A"),"尼","")</f>
      </c>
      <c r="I178" s="176">
        <f>IF(INDEX('参加者データ（要入力）'!$B$3:$O$102,87,10)="","",INDEX('参加者データ（要入力）'!$B$3:$O$102,87,10))</f>
      </c>
      <c r="J178" s="276">
        <f>IF(INDEX('参加者データ（要入力）'!$B$3:$O$102,87,7)="","",INDEX('参加者データ（要入力）'!$B$3:$O$102,87,7))</f>
      </c>
      <c r="K178" s="277" t="str">
        <f>INDEX('参加者データ（要入力）'!$B$2:$O$102,1,6)</f>
        <v>600-8308</v>
      </c>
      <c r="L178" s="277" t="str">
        <f>INDEX('参加者データ（要入力）'!$B$2:$O$102,1,6)</f>
        <v>600-8308</v>
      </c>
      <c r="M178" s="278" t="str">
        <f>INDEX('参加者データ（要入力）'!$B$2:$O$102,1,6)</f>
        <v>600-8308</v>
      </c>
      <c r="N178" s="99">
        <f>IF(INDEX('参加者データ（要入力）'!$B$3:$O$102,87,13)="","",INDEX('参加者データ（要入力）'!$B$3:$O$102,87,13))</f>
      </c>
      <c r="O178" s="284"/>
      <c r="P178" s="288"/>
      <c r="Q178" s="289"/>
      <c r="R178" s="290"/>
    </row>
    <row r="179" spans="1:18" ht="19.5" customHeight="1">
      <c r="A179" s="279">
        <v>88</v>
      </c>
      <c r="B179" s="118">
        <f>IF(INDEX('参加者データ（要入力）'!$B$3:$O$102,88,2)="","",INDEX('参加者データ（要入力）'!$B$3:$O$102,88,2))</f>
      </c>
      <c r="C179" s="280">
        <f>IF(INDEX('参加者データ（要入力）'!$B$3:$O$102,88,3)="","",INDEX('参加者データ（要入力）'!$B$3:$O$102,88,3))</f>
      </c>
      <c r="D179" s="280">
        <f>IF(INDEX('参加者データ（要入力）'!$B$3:$O$102,88,4)="","",INDEX('参加者データ（要入力）'!$B$3:$O$102,88,4))</f>
      </c>
      <c r="E179" s="121">
        <f>IF(INDEX('参加者データ（要入力）'!$B$3:$O$102,88,5)="","",INDEX('参加者データ（要入力）'!$B$3:$O$102,88,5))</f>
      </c>
      <c r="F179" s="274">
        <f>IF(INDEX('参加者データ（要入力）'!$B$3:$O$102,88,9)="","",INDEX('参加者データ（要入力）'!$B$3:$O$102,88,9))</f>
      </c>
      <c r="G179" s="126"/>
      <c r="H179" s="131"/>
      <c r="I179" s="96">
        <f>IF(INDEX('参加者データ（要入力）'!$B$3:$O$102,88,11)="","",INDEX('参加者データ（要入力）'!$B$3:$O$102,88,11))</f>
      </c>
      <c r="J179" s="86" t="s">
        <v>96</v>
      </c>
      <c r="K179" s="97">
        <f>IF(INDEX('参加者データ（要入力）'!$B$3:$O$102,88,6)="","",INDEX('参加者データ（要入力）'!$B$3:$O$102,88,6))</f>
      </c>
      <c r="L179" s="87" t="s">
        <v>97</v>
      </c>
      <c r="M179" s="98">
        <f>IF(INDEX('参加者データ（要入力）'!$B$3:$O$102,88,8)="","",INDEX('参加者データ（要入力）'!$B$3:$O$102,88,8))</f>
      </c>
      <c r="N179" s="95">
        <f>IF(INDEX('参加者データ（要入力）'!$B$3:$O$102,88,12)="","",INDEX('参加者データ（要入力）'!$B$3:$O$102,88,12))</f>
      </c>
      <c r="O179" s="283">
        <f>IF(INDEX('参加者データ（要入力）'!$B$3:$P$102,88,14)="","",INDEX('参加者データ（要入力）'!$B$3:$P$102,88,14))</f>
      </c>
      <c r="P179" s="285">
        <f>IF(INDEX('参加者データ（要入力）'!$B$3:$P$102,88,15)="","",INDEX('参加者データ（要入力）'!$B$3:$P$102,88,15))</f>
      </c>
      <c r="Q179" s="286"/>
      <c r="R179" s="287"/>
    </row>
    <row r="180" spans="1:18" ht="31.5" customHeight="1">
      <c r="A180" s="279"/>
      <c r="B180" s="117">
        <f>IF(INDEX('参加者データ（要入力）'!$B$3:$O$102,88,1)="","",INDEX('参加者データ（要入力）'!$B$3:$O$102,88,1))</f>
      </c>
      <c r="C180" s="237"/>
      <c r="D180" s="237"/>
      <c r="E180" s="124">
        <f>IF(INDEX('参加者データ（要入力）'!$B$3:$O$102,88,5)="","",INDEX('参加者データ（要入力）'!$B$3:$O$102,88,5))</f>
      </c>
      <c r="F180" s="275"/>
      <c r="G180" s="127" t="s">
        <v>98</v>
      </c>
      <c r="H180" s="132">
        <f>IF(AND(C179="女",F179="A"),"尼","")</f>
      </c>
      <c r="I180" s="176">
        <f>IF(INDEX('参加者データ（要入力）'!$B$3:$O$102,88,10)="","",INDEX('参加者データ（要入力）'!$B$3:$O$102,88,10))</f>
      </c>
      <c r="J180" s="276">
        <f>IF(INDEX('参加者データ（要入力）'!$B$3:$O$102,88,7)="","",INDEX('参加者データ（要入力）'!$B$3:$O$102,88,7))</f>
      </c>
      <c r="K180" s="277" t="str">
        <f>INDEX('参加者データ（要入力）'!$B$2:$O$102,1,6)</f>
        <v>600-8308</v>
      </c>
      <c r="L180" s="277" t="str">
        <f>INDEX('参加者データ（要入力）'!$B$2:$O$102,1,6)</f>
        <v>600-8308</v>
      </c>
      <c r="M180" s="278" t="str">
        <f>INDEX('参加者データ（要入力）'!$B$2:$O$102,1,6)</f>
        <v>600-8308</v>
      </c>
      <c r="N180" s="99">
        <f>IF(INDEX('参加者データ（要入力）'!$B$3:$O$102,88,13)="","",INDEX('参加者データ（要入力）'!$B$3:$O$102,88,13))</f>
      </c>
      <c r="O180" s="284"/>
      <c r="P180" s="288"/>
      <c r="Q180" s="289"/>
      <c r="R180" s="290"/>
    </row>
    <row r="181" spans="1:18" ht="19.5" customHeight="1">
      <c r="A181" s="279">
        <v>89</v>
      </c>
      <c r="B181" s="118">
        <f>IF(INDEX('参加者データ（要入力）'!$B$3:$O$102,89,2)="","",INDEX('参加者データ（要入力）'!$B$3:$O$102,89,2))</f>
      </c>
      <c r="C181" s="280">
        <f>IF(INDEX('参加者データ（要入力）'!$B$3:$O$102,89,3)="","",INDEX('参加者データ（要入力）'!$B$3:$O$102,89,3))</f>
      </c>
      <c r="D181" s="237">
        <f>IF(INDEX('参加者データ（要入力）'!$B$3:$O$102,89,4)="","",INDEX('参加者データ（要入力）'!$B$3:$O$102,89,4))</f>
      </c>
      <c r="E181" s="121">
        <f>IF(INDEX('参加者データ（要入力）'!$B$3:$O$102,89,5)="","",INDEX('参加者データ（要入力）'!$B$3:$O$102,89,5))</f>
      </c>
      <c r="F181" s="274">
        <f>IF(INDEX('参加者データ（要入力）'!$B$3:$O$102,89,9)="","",INDEX('参加者データ（要入力）'!$B$3:$O$102,89,9))</f>
      </c>
      <c r="G181" s="126"/>
      <c r="H181" s="131"/>
      <c r="I181" s="96">
        <f>IF(INDEX('参加者データ（要入力）'!$B$3:$O$102,89,11)="","",INDEX('参加者データ（要入力）'!$B$3:$O$102,89,11))</f>
      </c>
      <c r="J181" s="86" t="s">
        <v>96</v>
      </c>
      <c r="K181" s="97">
        <f>IF(INDEX('参加者データ（要入力）'!$B$3:$O$102,89,6)="","",INDEX('参加者データ（要入力）'!$B$3:$O$102,89,6))</f>
      </c>
      <c r="L181" s="87" t="s">
        <v>97</v>
      </c>
      <c r="M181" s="98">
        <f>IF(INDEX('参加者データ（要入力）'!$B$3:$O$102,89,8)="","",INDEX('参加者データ（要入力）'!$B$3:$O$102,89,8))</f>
      </c>
      <c r="N181" s="95">
        <f>IF(INDEX('参加者データ（要入力）'!$B$3:$O$102,89,12)="","",INDEX('参加者データ（要入力）'!$B$3:$O$102,89,12))</f>
      </c>
      <c r="O181" s="283">
        <f>IF(INDEX('参加者データ（要入力）'!$B$3:$P$102,89,14)="","",INDEX('参加者データ（要入力）'!$B$3:$P$102,89,14))</f>
      </c>
      <c r="P181" s="285">
        <f>IF(INDEX('参加者データ（要入力）'!$B$3:$P$102,89,15)="","",INDEX('参加者データ（要入力）'!$B$3:$P$102,89,15))</f>
      </c>
      <c r="Q181" s="286"/>
      <c r="R181" s="287"/>
    </row>
    <row r="182" spans="1:18" ht="31.5" customHeight="1">
      <c r="A182" s="279"/>
      <c r="B182" s="117">
        <f>IF(INDEX('参加者データ（要入力）'!$B$3:$O$102,89,1)="","",INDEX('参加者データ（要入力）'!$B$3:$O$102,89,1))</f>
      </c>
      <c r="C182" s="237"/>
      <c r="D182" s="237"/>
      <c r="E182" s="124">
        <f>IF(INDEX('参加者データ（要入力）'!$B$3:$O$102,89,5)="","",INDEX('参加者データ（要入力）'!$B$3:$O$102,89,5))</f>
      </c>
      <c r="F182" s="275"/>
      <c r="G182" s="127" t="s">
        <v>98</v>
      </c>
      <c r="H182" s="132">
        <f>IF(AND(C181="女",F181="A"),"尼","")</f>
      </c>
      <c r="I182" s="176">
        <f>IF(INDEX('参加者データ（要入力）'!$B$3:$O$102,89,10)="","",INDEX('参加者データ（要入力）'!$B$3:$O$102,89,10))</f>
      </c>
      <c r="J182" s="276">
        <f>IF(INDEX('参加者データ（要入力）'!$B$3:$O$102,89,7)="","",INDEX('参加者データ（要入力）'!$B$3:$O$102,89,7))</f>
      </c>
      <c r="K182" s="277" t="str">
        <f>INDEX('参加者データ（要入力）'!$B$2:$O$102,1,6)</f>
        <v>600-8308</v>
      </c>
      <c r="L182" s="277" t="str">
        <f>INDEX('参加者データ（要入力）'!$B$2:$O$102,1,6)</f>
        <v>600-8308</v>
      </c>
      <c r="M182" s="278" t="str">
        <f>INDEX('参加者データ（要入力）'!$B$2:$O$102,1,6)</f>
        <v>600-8308</v>
      </c>
      <c r="N182" s="99">
        <f>IF(INDEX('参加者データ（要入力）'!$B$3:$O$102,89,13)="","",INDEX('参加者データ（要入力）'!$B$3:$O$102,89,13))</f>
      </c>
      <c r="O182" s="284"/>
      <c r="P182" s="288"/>
      <c r="Q182" s="289"/>
      <c r="R182" s="290"/>
    </row>
    <row r="183" spans="1:18" ht="19.5" customHeight="1">
      <c r="A183" s="279">
        <v>90</v>
      </c>
      <c r="B183" s="118">
        <f>IF(INDEX('参加者データ（要入力）'!$B$3:$O$102,90,2)="","",INDEX('参加者データ（要入力）'!$B$3:$O$102,90,2))</f>
      </c>
      <c r="C183" s="280">
        <f>IF(INDEX('参加者データ（要入力）'!$B$3:$O$102,90,3)="","",INDEX('参加者データ（要入力）'!$B$3:$O$102,90,3))</f>
      </c>
      <c r="D183" s="280">
        <f>IF(INDEX('参加者データ（要入力）'!$B$3:$O$102,90,4)="","",INDEX('参加者データ（要入力）'!$B$3:$O$102,90,4))</f>
      </c>
      <c r="E183" s="121">
        <f>IF(INDEX('参加者データ（要入力）'!$B$3:$O$102,90,5)="","",INDEX('参加者データ（要入力）'!$B$3:$O$102,90,5))</f>
      </c>
      <c r="F183" s="274">
        <f>IF(INDEX('参加者データ（要入力）'!$B$3:$O$102,90,9)="","",INDEX('参加者データ（要入力）'!$B$3:$O$102,90,9))</f>
      </c>
      <c r="G183" s="126"/>
      <c r="H183" s="131"/>
      <c r="I183" s="96">
        <f>IF(INDEX('参加者データ（要入力）'!$B$3:$O$102,90,11)="","",INDEX('参加者データ（要入力）'!$B$3:$O$102,90,11))</f>
      </c>
      <c r="J183" s="86" t="s">
        <v>96</v>
      </c>
      <c r="K183" s="97">
        <f>IF(INDEX('参加者データ（要入力）'!$B$3:$O$102,90,6)="","",INDEX('参加者データ（要入力）'!$B$3:$O$102,90,6))</f>
      </c>
      <c r="L183" s="87" t="s">
        <v>97</v>
      </c>
      <c r="M183" s="98">
        <f>IF(INDEX('参加者データ（要入力）'!$B$3:$O$102,90,8)="","",INDEX('参加者データ（要入力）'!$B$3:$O$102,90,8))</f>
      </c>
      <c r="N183" s="95">
        <f>IF(INDEX('参加者データ（要入力）'!$B$3:$O$102,90,12)="","",INDEX('参加者データ（要入力）'!$B$3:$O$102,90,12))</f>
      </c>
      <c r="O183" s="283">
        <f>IF(INDEX('参加者データ（要入力）'!$B$3:$P$102,90,14)="","",INDEX('参加者データ（要入力）'!$B$3:$P$102,90,14))</f>
      </c>
      <c r="P183" s="285">
        <f>IF(INDEX('参加者データ（要入力）'!$B$3:$P$102,90,15)="","",INDEX('参加者データ（要入力）'!$B$3:$P$102,90,15))</f>
      </c>
      <c r="Q183" s="286"/>
      <c r="R183" s="287"/>
    </row>
    <row r="184" spans="1:18" ht="31.5" customHeight="1">
      <c r="A184" s="279"/>
      <c r="B184" s="117">
        <f>IF(INDEX('参加者データ（要入力）'!$B$3:$O$102,90,1)="","",INDEX('参加者データ（要入力）'!$B$3:$O$102,90,1))</f>
      </c>
      <c r="C184" s="237"/>
      <c r="D184" s="237"/>
      <c r="E184" s="122">
        <f>IF(INDEX('参加者データ（要入力）'!$B$3:$O$102,90,5)="","",INDEX('参加者データ（要入力）'!$B$3:$O$102,90,5))</f>
      </c>
      <c r="F184" s="275"/>
      <c r="G184" s="127" t="s">
        <v>98</v>
      </c>
      <c r="H184" s="132">
        <f>IF(AND(C183="女",F183="A"),"尼","")</f>
      </c>
      <c r="I184" s="176">
        <f>IF(INDEX('参加者データ（要入力）'!$B$3:$O$102,90,10)="","",INDEX('参加者データ（要入力）'!$B$3:$O$102,90,10))</f>
      </c>
      <c r="J184" s="276">
        <f>IF(INDEX('参加者データ（要入力）'!$B$3:$O$102,90,7)="","",INDEX('参加者データ（要入力）'!$B$3:$O$102,90,7))</f>
      </c>
      <c r="K184" s="277" t="str">
        <f>INDEX('参加者データ（要入力）'!$B$2:$O$102,1,6)</f>
        <v>600-8308</v>
      </c>
      <c r="L184" s="277" t="str">
        <f>INDEX('参加者データ（要入力）'!$B$2:$O$102,1,6)</f>
        <v>600-8308</v>
      </c>
      <c r="M184" s="278" t="str">
        <f>INDEX('参加者データ（要入力）'!$B$2:$O$102,1,6)</f>
        <v>600-8308</v>
      </c>
      <c r="N184" s="99">
        <f>IF(INDEX('参加者データ（要入力）'!$B$3:$O$102,90,13)="","",INDEX('参加者データ（要入力）'!$B$3:$O$102,90,13))</f>
      </c>
      <c r="O184" s="284"/>
      <c r="P184" s="288"/>
      <c r="Q184" s="289"/>
      <c r="R184" s="290"/>
    </row>
    <row r="185" spans="1:18" ht="19.5" customHeight="1">
      <c r="A185" s="279">
        <v>91</v>
      </c>
      <c r="B185" s="118">
        <f>IF(INDEX('参加者データ（要入力）'!$B$3:$O$102,91,2)="","",INDEX('参加者データ（要入力）'!$B$3:$O$102,91,2))</f>
      </c>
      <c r="C185" s="280">
        <f>IF(INDEX('参加者データ（要入力）'!$B$3:$O$102,91,3)="","",INDEX('参加者データ（要入力）'!$B$3:$O$102,91,3))</f>
      </c>
      <c r="D185" s="237">
        <f>IF(INDEX('参加者データ（要入力）'!$B$3:$O$102,91,4)="","",INDEX('参加者データ（要入力）'!$B$3:$O$102,91,4))</f>
      </c>
      <c r="E185" s="121">
        <f>IF(INDEX('参加者データ（要入力）'!$B$3:$O$102,91,5)="","",INDEX('参加者データ（要入力）'!$B$3:$O$102,91,5))</f>
      </c>
      <c r="F185" s="274">
        <f>IF(INDEX('参加者データ（要入力）'!$B$3:$O$102,91,9)="","",INDEX('参加者データ（要入力）'!$B$3:$O$102,91,9))</f>
      </c>
      <c r="G185" s="126"/>
      <c r="H185" s="131"/>
      <c r="I185" s="96">
        <f>IF(INDEX('参加者データ（要入力）'!$B$3:$O$102,91,11)="","",INDEX('参加者データ（要入力）'!$B$3:$O$102,91,11))</f>
      </c>
      <c r="J185" s="86" t="s">
        <v>96</v>
      </c>
      <c r="K185" s="97">
        <f>IF(INDEX('参加者データ（要入力）'!$B$3:$O$102,91,6)="","",INDEX('参加者データ（要入力）'!$B$3:$O$102,91,6))</f>
      </c>
      <c r="L185" s="87" t="s">
        <v>97</v>
      </c>
      <c r="M185" s="98">
        <f>IF(INDEX('参加者データ（要入力）'!$B$3:$O$102,91,8)="","",INDEX('参加者データ（要入力）'!$B$3:$O$102,91,8))</f>
      </c>
      <c r="N185" s="95">
        <f>IF(INDEX('参加者データ（要入力）'!$B$3:$O$102,91,12)="","",INDEX('参加者データ（要入力）'!$B$3:$O$102,91,12))</f>
      </c>
      <c r="O185" s="283">
        <f>IF(INDEX('参加者データ（要入力）'!$B$3:$P$102,91,14)="","",INDEX('参加者データ（要入力）'!$B$3:$P$102,91,14))</f>
      </c>
      <c r="P185" s="285">
        <f>IF(INDEX('参加者データ（要入力）'!$B$3:$P$102,91,15)="","",INDEX('参加者データ（要入力）'!$B$3:$P$102,91,15))</f>
      </c>
      <c r="Q185" s="286"/>
      <c r="R185" s="287"/>
    </row>
    <row r="186" spans="1:18" ht="31.5" customHeight="1">
      <c r="A186" s="279"/>
      <c r="B186" s="117">
        <f>IF(INDEX('参加者データ（要入力）'!$B$3:$O$102,91,1)="","",INDEX('参加者データ（要入力）'!$B$3:$O$102,91,1))</f>
      </c>
      <c r="C186" s="237"/>
      <c r="D186" s="237"/>
      <c r="E186" s="124">
        <f>IF(INDEX('参加者データ（要入力）'!$B$3:$O$102,91,5)="","",INDEX('参加者データ（要入力）'!$B$3:$O$102,91,5))</f>
      </c>
      <c r="F186" s="275"/>
      <c r="G186" s="127" t="s">
        <v>98</v>
      </c>
      <c r="H186" s="132">
        <f>IF(AND(C185="女",F185="A"),"尼","")</f>
      </c>
      <c r="I186" s="176">
        <f>IF(INDEX('参加者データ（要入力）'!$B$3:$O$102,91,10)="","",INDEX('参加者データ（要入力）'!$B$3:$O$102,91,10))</f>
      </c>
      <c r="J186" s="276">
        <f>IF(INDEX('参加者データ（要入力）'!$B$3:$O$102,91,7)="","",INDEX('参加者データ（要入力）'!$B$3:$O$102,91,7))</f>
      </c>
      <c r="K186" s="277" t="str">
        <f>INDEX('参加者データ（要入力）'!$B$2:$O$102,1,6)</f>
        <v>600-8308</v>
      </c>
      <c r="L186" s="277" t="str">
        <f>INDEX('参加者データ（要入力）'!$B$2:$O$102,1,6)</f>
        <v>600-8308</v>
      </c>
      <c r="M186" s="278" t="str">
        <f>INDEX('参加者データ（要入力）'!$B$2:$O$102,1,6)</f>
        <v>600-8308</v>
      </c>
      <c r="N186" s="99">
        <f>IF(INDEX('参加者データ（要入力）'!$B$3:$O$102,91,13)="","",INDEX('参加者データ（要入力）'!$B$3:$O$102,91,13))</f>
      </c>
      <c r="O186" s="284"/>
      <c r="P186" s="288"/>
      <c r="Q186" s="289"/>
      <c r="R186" s="290"/>
    </row>
    <row r="187" spans="1:18" ht="19.5" customHeight="1">
      <c r="A187" s="279">
        <v>92</v>
      </c>
      <c r="B187" s="118">
        <f>IF(INDEX('参加者データ（要入力）'!$B$3:$O$102,92,2)="","",INDEX('参加者データ（要入力）'!$B$3:$O$102,92,2))</f>
      </c>
      <c r="C187" s="280">
        <f>IF(INDEX('参加者データ（要入力）'!$B$3:$O$102,92,3)="","",INDEX('参加者データ（要入力）'!$B$3:$O$102,92,3))</f>
      </c>
      <c r="D187" s="280">
        <f>IF(INDEX('参加者データ（要入力）'!$B$3:$O$102,92,4)="","",INDEX('参加者データ（要入力）'!$B$3:$O$102,92,4))</f>
      </c>
      <c r="E187" s="121">
        <f>IF(INDEX('参加者データ（要入力）'!$B$3:$O$102,92,5)="","",INDEX('参加者データ（要入力）'!$B$3:$O$102,92,5))</f>
      </c>
      <c r="F187" s="274">
        <f>IF(INDEX('参加者データ（要入力）'!$B$3:$O$102,92,9)="","",INDEX('参加者データ（要入力）'!$B$3:$O$102,92,9))</f>
      </c>
      <c r="G187" s="126"/>
      <c r="H187" s="131"/>
      <c r="I187" s="96">
        <f>IF(INDEX('参加者データ（要入力）'!$B$3:$O$102,92,11)="","",INDEX('参加者データ（要入力）'!$B$3:$O$102,92,11))</f>
      </c>
      <c r="J187" s="86" t="s">
        <v>96</v>
      </c>
      <c r="K187" s="97">
        <f>IF(INDEX('参加者データ（要入力）'!$B$3:$O$102,92,6)="","",INDEX('参加者データ（要入力）'!$B$3:$O$102,92,6))</f>
      </c>
      <c r="L187" s="87" t="s">
        <v>97</v>
      </c>
      <c r="M187" s="98">
        <f>IF(INDEX('参加者データ（要入力）'!$B$3:$O$102,92,8)="","",INDEX('参加者データ（要入力）'!$B$3:$O$102,92,8))</f>
      </c>
      <c r="N187" s="95">
        <f>IF(INDEX('参加者データ（要入力）'!$B$3:$O$102,92,12)="","",INDEX('参加者データ（要入力）'!$B$3:$O$102,92,12))</f>
      </c>
      <c r="O187" s="283">
        <f>IF(INDEX('参加者データ（要入力）'!$B$3:$P$102,92,14)="","",INDEX('参加者データ（要入力）'!$B$3:$P$102,92,14))</f>
      </c>
      <c r="P187" s="285">
        <f>IF(INDEX('参加者データ（要入力）'!$B$3:$P$102,92,15)="","",INDEX('参加者データ（要入力）'!$B$3:$P$102,92,15))</f>
      </c>
      <c r="Q187" s="286"/>
      <c r="R187" s="287"/>
    </row>
    <row r="188" spans="1:18" ht="31.5" customHeight="1">
      <c r="A188" s="279"/>
      <c r="B188" s="117">
        <f>IF(INDEX('参加者データ（要入力）'!$B$3:$O$102,92,1)="","",INDEX('参加者データ（要入力）'!$B$3:$O$102,92,1))</f>
      </c>
      <c r="C188" s="237"/>
      <c r="D188" s="237"/>
      <c r="E188" s="124">
        <f>IF(INDEX('参加者データ（要入力）'!$B$3:$O$102,92,5)="","",INDEX('参加者データ（要入力）'!$B$3:$O$102,92,5))</f>
      </c>
      <c r="F188" s="275"/>
      <c r="G188" s="127" t="s">
        <v>98</v>
      </c>
      <c r="H188" s="132">
        <f>IF(AND(C187="女",F187="A"),"尼","")</f>
      </c>
      <c r="I188" s="176">
        <f>IF(INDEX('参加者データ（要入力）'!$B$3:$O$102,92,10)="","",INDEX('参加者データ（要入力）'!$B$3:$O$102,92,10))</f>
      </c>
      <c r="J188" s="276">
        <f>IF(INDEX('参加者データ（要入力）'!$B$3:$O$102,92,7)="","",INDEX('参加者データ（要入力）'!$B$3:$O$102,92,7))</f>
      </c>
      <c r="K188" s="277" t="str">
        <f>INDEX('参加者データ（要入力）'!$B$2:$O$102,1,6)</f>
        <v>600-8308</v>
      </c>
      <c r="L188" s="277" t="str">
        <f>INDEX('参加者データ（要入力）'!$B$2:$O$102,1,6)</f>
        <v>600-8308</v>
      </c>
      <c r="M188" s="278" t="str">
        <f>INDEX('参加者データ（要入力）'!$B$2:$O$102,1,6)</f>
        <v>600-8308</v>
      </c>
      <c r="N188" s="99">
        <f>IF(INDEX('参加者データ（要入力）'!$B$3:$O$102,92,13)="","",INDEX('参加者データ（要入力）'!$B$3:$O$102,92,13))</f>
      </c>
      <c r="O188" s="284"/>
      <c r="P188" s="288"/>
      <c r="Q188" s="289"/>
      <c r="R188" s="290"/>
    </row>
    <row r="189" spans="1:18" ht="19.5" customHeight="1">
      <c r="A189" s="279">
        <v>93</v>
      </c>
      <c r="B189" s="118">
        <f>IF(INDEX('参加者データ（要入力）'!$B$3:$O$102,93,2)="","",INDEX('参加者データ（要入力）'!$B$3:$O$102,93,2))</f>
      </c>
      <c r="C189" s="280">
        <f>IF(INDEX('参加者データ（要入力）'!$B$3:$O$102,93,3)="","",INDEX('参加者データ（要入力）'!$B$3:$O$102,93,3))</f>
      </c>
      <c r="D189" s="237">
        <f>IF(INDEX('参加者データ（要入力）'!$B$3:$O$102,93,4)="","",INDEX('参加者データ（要入力）'!$B$3:$O$102,93,4))</f>
      </c>
      <c r="E189" s="121">
        <f>IF(INDEX('参加者データ（要入力）'!$B$3:$O$102,93,5)="","",INDEX('参加者データ（要入力）'!$B$3:$O$102,93,5))</f>
      </c>
      <c r="F189" s="274">
        <f>IF(INDEX('参加者データ（要入力）'!$B$3:$O$102,93,9)="","",INDEX('参加者データ（要入力）'!$B$3:$O$102,93,9))</f>
      </c>
      <c r="G189" s="126"/>
      <c r="H189" s="131"/>
      <c r="I189" s="96">
        <f>IF(INDEX('参加者データ（要入力）'!$B$3:$O$102,93,11)="","",INDEX('参加者データ（要入力）'!$B$3:$O$102,93,11))</f>
      </c>
      <c r="J189" s="86" t="s">
        <v>96</v>
      </c>
      <c r="K189" s="97">
        <f>IF(INDEX('参加者データ（要入力）'!$B$3:$O$102,93,6)="","",INDEX('参加者データ（要入力）'!$B$3:$O$102,93,6))</f>
      </c>
      <c r="L189" s="87" t="s">
        <v>97</v>
      </c>
      <c r="M189" s="98">
        <f>IF(INDEX('参加者データ（要入力）'!$B$3:$O$102,93,8)="","",INDEX('参加者データ（要入力）'!$B$3:$O$102,93,8))</f>
      </c>
      <c r="N189" s="95">
        <f>IF(INDEX('参加者データ（要入力）'!$B$3:$O$102,93,12)="","",INDEX('参加者データ（要入力）'!$B$3:$O$102,93,12))</f>
      </c>
      <c r="O189" s="283">
        <f>IF(INDEX('参加者データ（要入力）'!$B$3:$P$102,93,14)="","",INDEX('参加者データ（要入力）'!$B$3:$P$102,93,14))</f>
      </c>
      <c r="P189" s="285">
        <f>IF(INDEX('参加者データ（要入力）'!$B$3:$P$102,93,15)="","",INDEX('参加者データ（要入力）'!$B$3:$P$102,93,15))</f>
      </c>
      <c r="Q189" s="286"/>
      <c r="R189" s="287"/>
    </row>
    <row r="190" spans="1:18" ht="31.5" customHeight="1">
      <c r="A190" s="279"/>
      <c r="B190" s="117">
        <f>IF(INDEX('参加者データ（要入力）'!$B$3:$O$102,93,1)="","",INDEX('参加者データ（要入力）'!$B$3:$O$102,93,1))</f>
      </c>
      <c r="C190" s="237"/>
      <c r="D190" s="237"/>
      <c r="E190" s="124">
        <f>IF(INDEX('参加者データ（要入力）'!$B$3:$O$102,93,5)="","",INDEX('参加者データ（要入力）'!$B$3:$O$102,93,5))</f>
      </c>
      <c r="F190" s="275"/>
      <c r="G190" s="127" t="s">
        <v>98</v>
      </c>
      <c r="H190" s="132">
        <f>IF(AND(C189="女",F189="A"),"尼","")</f>
      </c>
      <c r="I190" s="176">
        <f>IF(INDEX('参加者データ（要入力）'!$B$3:$O$102,93,10)="","",INDEX('参加者データ（要入力）'!$B$3:$O$102,93,10))</f>
      </c>
      <c r="J190" s="276">
        <f>IF(INDEX('参加者データ（要入力）'!$B$3:$O$102,93,7)="","",INDEX('参加者データ（要入力）'!$B$3:$O$102,93,7))</f>
      </c>
      <c r="K190" s="277" t="str">
        <f>INDEX('参加者データ（要入力）'!$B$2:$O$102,1,6)</f>
        <v>600-8308</v>
      </c>
      <c r="L190" s="277" t="str">
        <f>INDEX('参加者データ（要入力）'!$B$2:$O$102,1,6)</f>
        <v>600-8308</v>
      </c>
      <c r="M190" s="278" t="str">
        <f>INDEX('参加者データ（要入力）'!$B$2:$O$102,1,6)</f>
        <v>600-8308</v>
      </c>
      <c r="N190" s="99">
        <f>IF(INDEX('参加者データ（要入力）'!$B$3:$O$102,93,13)="","",INDEX('参加者データ（要入力）'!$B$3:$O$102,93,13))</f>
      </c>
      <c r="O190" s="284"/>
      <c r="P190" s="288"/>
      <c r="Q190" s="289"/>
      <c r="R190" s="290"/>
    </row>
    <row r="191" spans="1:18" ht="19.5" customHeight="1">
      <c r="A191" s="279">
        <v>94</v>
      </c>
      <c r="B191" s="118">
        <f>IF(INDEX('参加者データ（要入力）'!$B$3:$O$102,94,2)="","",INDEX('参加者データ（要入力）'!$B$3:$O$102,94,2))</f>
      </c>
      <c r="C191" s="280">
        <f>IF(INDEX('参加者データ（要入力）'!$B$3:$O$102,94,3)="","",INDEX('参加者データ（要入力）'!$B$3:$O$102,94,3))</f>
      </c>
      <c r="D191" s="280">
        <f>IF(INDEX('参加者データ（要入力）'!$B$3:$O$102,94,4)="","",INDEX('参加者データ（要入力）'!$B$3:$O$102,94,4))</f>
      </c>
      <c r="E191" s="121">
        <f>IF(INDEX('参加者データ（要入力）'!$B$3:$O$102,94,5)="","",INDEX('参加者データ（要入力）'!$B$3:$O$102,94,5))</f>
      </c>
      <c r="F191" s="274">
        <f>IF(INDEX('参加者データ（要入力）'!$B$3:$O$102,94,9)="","",INDEX('参加者データ（要入力）'!$B$3:$O$102,94,9))</f>
      </c>
      <c r="G191" s="126"/>
      <c r="H191" s="131"/>
      <c r="I191" s="96">
        <f>IF(INDEX('参加者データ（要入力）'!$B$3:$O$102,94,11)="","",INDEX('参加者データ（要入力）'!$B$3:$O$102,94,11))</f>
      </c>
      <c r="J191" s="86" t="s">
        <v>96</v>
      </c>
      <c r="K191" s="97">
        <f>IF(INDEX('参加者データ（要入力）'!$B$3:$O$102,94,6)="","",INDEX('参加者データ（要入力）'!$B$3:$O$102,94,6))</f>
      </c>
      <c r="L191" s="87" t="s">
        <v>97</v>
      </c>
      <c r="M191" s="98">
        <f>IF(INDEX('参加者データ（要入力）'!$B$3:$O$102,94,8)="","",INDEX('参加者データ（要入力）'!$B$3:$O$102,94,8))</f>
      </c>
      <c r="N191" s="95">
        <f>IF(INDEX('参加者データ（要入力）'!$B$3:$O$102,94,12)="","",INDEX('参加者データ（要入力）'!$B$3:$O$102,94,12))</f>
      </c>
      <c r="O191" s="283">
        <f>IF(INDEX('参加者データ（要入力）'!$B$3:$P$102,94,14)="","",INDEX('参加者データ（要入力）'!$B$3:$P$102,94,14))</f>
      </c>
      <c r="P191" s="285">
        <f>IF(INDEX('参加者データ（要入力）'!$B$3:$P$102,94,15)="","",INDEX('参加者データ（要入力）'!$B$3:$P$102,94,15))</f>
      </c>
      <c r="Q191" s="286"/>
      <c r="R191" s="287"/>
    </row>
    <row r="192" spans="1:18" ht="31.5" customHeight="1">
      <c r="A192" s="279"/>
      <c r="B192" s="117">
        <f>IF(INDEX('参加者データ（要入力）'!$B$3:$O$102,94,1)="","",INDEX('参加者データ（要入力）'!$B$3:$O$102,94,1))</f>
      </c>
      <c r="C192" s="237"/>
      <c r="D192" s="237"/>
      <c r="E192" s="124">
        <f>IF(INDEX('参加者データ（要入力）'!$B$3:$O$102,94,5)="","",INDEX('参加者データ（要入力）'!$B$3:$O$102,94,5))</f>
      </c>
      <c r="F192" s="275"/>
      <c r="G192" s="127" t="s">
        <v>98</v>
      </c>
      <c r="H192" s="132">
        <f>IF(AND(C191="女",F191="A"),"尼","")</f>
      </c>
      <c r="I192" s="176">
        <f>IF(INDEX('参加者データ（要入力）'!$B$3:$O$102,94,10)="","",INDEX('参加者データ（要入力）'!$B$3:$O$102,94,10))</f>
      </c>
      <c r="J192" s="276">
        <f>IF(INDEX('参加者データ（要入力）'!$B$3:$O$102,94,7)="","",INDEX('参加者データ（要入力）'!$B$3:$O$102,94,7))</f>
      </c>
      <c r="K192" s="277" t="str">
        <f>INDEX('参加者データ（要入力）'!$B$2:$O$102,1,6)</f>
        <v>600-8308</v>
      </c>
      <c r="L192" s="277" t="str">
        <f>INDEX('参加者データ（要入力）'!$B$2:$O$102,1,6)</f>
        <v>600-8308</v>
      </c>
      <c r="M192" s="278" t="str">
        <f>INDEX('参加者データ（要入力）'!$B$2:$O$102,1,6)</f>
        <v>600-8308</v>
      </c>
      <c r="N192" s="99">
        <f>IF(INDEX('参加者データ（要入力）'!$B$3:$O$102,94,13)="","",INDEX('参加者データ（要入力）'!$B$3:$O$102,94,13))</f>
      </c>
      <c r="O192" s="284"/>
      <c r="P192" s="288"/>
      <c r="Q192" s="289"/>
      <c r="R192" s="290"/>
    </row>
    <row r="193" spans="1:18" ht="19.5" customHeight="1">
      <c r="A193" s="279">
        <v>95</v>
      </c>
      <c r="B193" s="118">
        <f>IF(INDEX('参加者データ（要入力）'!$B$3:$O$102,95,2)="","",INDEX('参加者データ（要入力）'!$B$3:$O$102,95,2))</f>
      </c>
      <c r="C193" s="280">
        <f>IF(INDEX('参加者データ（要入力）'!$B$3:$O$102,95,3)="","",INDEX('参加者データ（要入力）'!$B$3:$O$102,95,3))</f>
      </c>
      <c r="D193" s="237">
        <f>IF(INDEX('参加者データ（要入力）'!$B$3:$O$102,95,4)="","",INDEX('参加者データ（要入力）'!$B$3:$O$102,95,4))</f>
      </c>
      <c r="E193" s="121">
        <f>IF(INDEX('参加者データ（要入力）'!$B$3:$O$102,95,5)="","",INDEX('参加者データ（要入力）'!$B$3:$O$102,95,5))</f>
      </c>
      <c r="F193" s="274">
        <f>IF(INDEX('参加者データ（要入力）'!$B$3:$O$102,95,9)="","",INDEX('参加者データ（要入力）'!$B$3:$O$102,95,9))</f>
      </c>
      <c r="G193" s="126"/>
      <c r="H193" s="131"/>
      <c r="I193" s="96">
        <f>IF(INDEX('参加者データ（要入力）'!$B$3:$O$102,95,11)="","",INDEX('参加者データ（要入力）'!$B$3:$O$102,95,11))</f>
      </c>
      <c r="J193" s="86" t="s">
        <v>96</v>
      </c>
      <c r="K193" s="97">
        <f>IF(INDEX('参加者データ（要入力）'!$B$3:$O$102,95,6)="","",INDEX('参加者データ（要入力）'!$B$3:$O$102,95,6))</f>
      </c>
      <c r="L193" s="87" t="s">
        <v>97</v>
      </c>
      <c r="M193" s="98">
        <f>IF(INDEX('参加者データ（要入力）'!$B$3:$O$102,95,8)="","",INDEX('参加者データ（要入力）'!$B$3:$O$102,95,8))</f>
      </c>
      <c r="N193" s="95">
        <f>IF(INDEX('参加者データ（要入力）'!$B$3:$O$102,95,12)="","",INDEX('参加者データ（要入力）'!$B$3:$O$102,95,12))</f>
      </c>
      <c r="O193" s="283">
        <f>IF(INDEX('参加者データ（要入力）'!$B$3:$P$102,95,14)="","",INDEX('参加者データ（要入力）'!$B$3:$P$102,95,14))</f>
      </c>
      <c r="P193" s="285">
        <f>IF(INDEX('参加者データ（要入力）'!$B$3:$P$102,95,15)="","",INDEX('参加者データ（要入力）'!$B$3:$P$102,95,15))</f>
      </c>
      <c r="Q193" s="286"/>
      <c r="R193" s="287"/>
    </row>
    <row r="194" spans="1:18" ht="31.5" customHeight="1">
      <c r="A194" s="279"/>
      <c r="B194" s="117">
        <f>IF(INDEX('参加者データ（要入力）'!$B$3:$O$102,95,1)="","",INDEX('参加者データ（要入力）'!$B$3:$O$102,95,1))</f>
      </c>
      <c r="C194" s="237"/>
      <c r="D194" s="237"/>
      <c r="E194" s="124">
        <f>IF(INDEX('参加者データ（要入力）'!$B$3:$O$102,95,5)="","",INDEX('参加者データ（要入力）'!$B$3:$O$102,95,5))</f>
      </c>
      <c r="F194" s="275"/>
      <c r="G194" s="127" t="s">
        <v>98</v>
      </c>
      <c r="H194" s="132">
        <f>IF(AND(C193="女",F193="A"),"尼","")</f>
      </c>
      <c r="I194" s="176">
        <f>IF(INDEX('参加者データ（要入力）'!$B$3:$O$102,95,10)="","",INDEX('参加者データ（要入力）'!$B$3:$O$102,95,10))</f>
      </c>
      <c r="J194" s="276">
        <f>IF(INDEX('参加者データ（要入力）'!$B$3:$O$102,95,7)="","",INDEX('参加者データ（要入力）'!$B$3:$O$102,95,7))</f>
      </c>
      <c r="K194" s="277" t="str">
        <f>INDEX('参加者データ（要入力）'!$B$2:$O$102,1,6)</f>
        <v>600-8308</v>
      </c>
      <c r="L194" s="277" t="str">
        <f>INDEX('参加者データ（要入力）'!$B$2:$O$102,1,6)</f>
        <v>600-8308</v>
      </c>
      <c r="M194" s="278" t="str">
        <f>INDEX('参加者データ（要入力）'!$B$2:$O$102,1,6)</f>
        <v>600-8308</v>
      </c>
      <c r="N194" s="99">
        <f>IF(INDEX('参加者データ（要入力）'!$B$3:$O$102,95,13)="","",INDEX('参加者データ（要入力）'!$B$3:$O$102,95,13))</f>
      </c>
      <c r="O194" s="284"/>
      <c r="P194" s="288"/>
      <c r="Q194" s="289"/>
      <c r="R194" s="290"/>
    </row>
    <row r="195" spans="1:18" ht="19.5" customHeight="1">
      <c r="A195" s="279">
        <v>96</v>
      </c>
      <c r="B195" s="118">
        <f>IF(INDEX('参加者データ（要入力）'!$B$3:$O$102,96,2)="","",INDEX('参加者データ（要入力）'!$B$3:$O$102,96,2))</f>
      </c>
      <c r="C195" s="280">
        <f>IF(INDEX('参加者データ（要入力）'!$B$3:$O$102,96,3)="","",INDEX('参加者データ（要入力）'!$B$3:$O$102,96,3))</f>
      </c>
      <c r="D195" s="280">
        <f>IF(INDEX('参加者データ（要入力）'!$B$3:$O$102,96,4)="","",INDEX('参加者データ（要入力）'!$B$3:$O$102,96,4))</f>
      </c>
      <c r="E195" s="121">
        <f>IF(INDEX('参加者データ（要入力）'!$B$3:$O$102,96,5)="","",INDEX('参加者データ（要入力）'!$B$3:$O$102,96,5))</f>
      </c>
      <c r="F195" s="274">
        <f>IF(INDEX('参加者データ（要入力）'!$B$3:$O$102,96,9)="","",INDEX('参加者データ（要入力）'!$B$3:$O$102,96,9))</f>
      </c>
      <c r="G195" s="126"/>
      <c r="H195" s="131"/>
      <c r="I195" s="96">
        <f>IF(INDEX('参加者データ（要入力）'!$B$3:$O$102,96,11)="","",INDEX('参加者データ（要入力）'!$B$3:$O$102,96,11))</f>
      </c>
      <c r="J195" s="86" t="s">
        <v>96</v>
      </c>
      <c r="K195" s="97">
        <f>IF(INDEX('参加者データ（要入力）'!$B$3:$O$102,96,6)="","",INDEX('参加者データ（要入力）'!$B$3:$O$102,96,6))</f>
      </c>
      <c r="L195" s="87" t="s">
        <v>97</v>
      </c>
      <c r="M195" s="98">
        <f>IF(INDEX('参加者データ（要入力）'!$B$3:$O$102,96,8)="","",INDEX('参加者データ（要入力）'!$B$3:$O$102,96,8))</f>
      </c>
      <c r="N195" s="95">
        <f>IF(INDEX('参加者データ（要入力）'!$B$3:$O$102,96,12)="","",INDEX('参加者データ（要入力）'!$B$3:$O$102,96,12))</f>
      </c>
      <c r="O195" s="283">
        <f>IF(INDEX('参加者データ（要入力）'!$B$3:$P$102,96,14)="","",INDEX('参加者データ（要入力）'!$B$3:$P$102,96,14))</f>
      </c>
      <c r="P195" s="285">
        <f>IF(INDEX('参加者データ（要入力）'!$B$3:$P$102,96,15)="","",INDEX('参加者データ（要入力）'!$B$3:$P$102,96,15))</f>
      </c>
      <c r="Q195" s="286"/>
      <c r="R195" s="287"/>
    </row>
    <row r="196" spans="1:18" ht="31.5" customHeight="1">
      <c r="A196" s="279"/>
      <c r="B196" s="117">
        <f>IF(INDEX('参加者データ（要入力）'!$B$3:$O$102,96,1)="","",INDEX('参加者データ（要入力）'!$B$3:$O$102,96,1))</f>
      </c>
      <c r="C196" s="237"/>
      <c r="D196" s="237"/>
      <c r="E196" s="124">
        <f>IF(INDEX('参加者データ（要入力）'!$B$3:$O$102,96,5)="","",INDEX('参加者データ（要入力）'!$B$3:$O$102,96,5))</f>
      </c>
      <c r="F196" s="275"/>
      <c r="G196" s="127" t="s">
        <v>98</v>
      </c>
      <c r="H196" s="132">
        <f>IF(AND(C195="女",F195="A"),"尼","")</f>
      </c>
      <c r="I196" s="176">
        <f>IF(INDEX('参加者データ（要入力）'!$B$3:$O$102,96,10)="","",INDEX('参加者データ（要入力）'!$B$3:$O$102,96,10))</f>
      </c>
      <c r="J196" s="276">
        <f>IF(INDEX('参加者データ（要入力）'!$B$3:$O$102,96,7)="","",INDEX('参加者データ（要入力）'!$B$3:$O$102,96,7))</f>
      </c>
      <c r="K196" s="277" t="str">
        <f>INDEX('参加者データ（要入力）'!$B$2:$O$102,1,6)</f>
        <v>600-8308</v>
      </c>
      <c r="L196" s="277" t="str">
        <f>INDEX('参加者データ（要入力）'!$B$2:$O$102,1,6)</f>
        <v>600-8308</v>
      </c>
      <c r="M196" s="278" t="str">
        <f>INDEX('参加者データ（要入力）'!$B$2:$O$102,1,6)</f>
        <v>600-8308</v>
      </c>
      <c r="N196" s="99">
        <f>IF(INDEX('参加者データ（要入力）'!$B$3:$O$102,96,13)="","",INDEX('参加者データ（要入力）'!$B$3:$O$102,96,13))</f>
      </c>
      <c r="O196" s="284"/>
      <c r="P196" s="288"/>
      <c r="Q196" s="289"/>
      <c r="R196" s="290"/>
    </row>
    <row r="197" spans="1:18" ht="19.5" customHeight="1">
      <c r="A197" s="279">
        <v>97</v>
      </c>
      <c r="B197" s="118">
        <f>IF(INDEX('参加者データ（要入力）'!$B$3:$O$102,97,2)="","",INDEX('参加者データ（要入力）'!$B$3:$O$102,97,2))</f>
      </c>
      <c r="C197" s="280">
        <f>IF(INDEX('参加者データ（要入力）'!$B$3:$O$102,97,3)="","",INDEX('参加者データ（要入力）'!$B$3:$O$102,97,3))</f>
      </c>
      <c r="D197" s="237">
        <f>IF(INDEX('参加者データ（要入力）'!$B$3:$O$102,97,4)="","",INDEX('参加者データ（要入力）'!$B$3:$O$102,97,4))</f>
      </c>
      <c r="E197" s="121">
        <f>IF(INDEX('参加者データ（要入力）'!$B$3:$O$102,97,5)="","",INDEX('参加者データ（要入力）'!$B$3:$O$102,97,5))</f>
      </c>
      <c r="F197" s="274">
        <f>IF(INDEX('参加者データ（要入力）'!$B$3:$O$102,97,9)="","",INDEX('参加者データ（要入力）'!$B$3:$O$102,97,9))</f>
      </c>
      <c r="G197" s="126"/>
      <c r="H197" s="131"/>
      <c r="I197" s="96">
        <f>IF(INDEX('参加者データ（要入力）'!$B$3:$O$102,97,11)="","",INDEX('参加者データ（要入力）'!$B$3:$O$102,97,11))</f>
      </c>
      <c r="J197" s="86" t="s">
        <v>96</v>
      </c>
      <c r="K197" s="97">
        <f>IF(INDEX('参加者データ（要入力）'!$B$3:$O$102,97,6)="","",INDEX('参加者データ（要入力）'!$B$3:$O$102,97,6))</f>
      </c>
      <c r="L197" s="87" t="s">
        <v>97</v>
      </c>
      <c r="M197" s="98">
        <f>IF(INDEX('参加者データ（要入力）'!$B$3:$O$102,97,8)="","",INDEX('参加者データ（要入力）'!$B$3:$O$102,97,8))</f>
      </c>
      <c r="N197" s="95">
        <f>IF(INDEX('参加者データ（要入力）'!$B$3:$O$102,97,12)="","",INDEX('参加者データ（要入力）'!$B$3:$O$102,97,12))</f>
      </c>
      <c r="O197" s="283">
        <f>IF(INDEX('参加者データ（要入力）'!$B$3:$P$102,97,14)="","",INDEX('参加者データ（要入力）'!$B$3:$P$102,97,14))</f>
      </c>
      <c r="P197" s="285">
        <f>IF(INDEX('参加者データ（要入力）'!$B$3:$P$102,97,15)="","",INDEX('参加者データ（要入力）'!$B$3:$P$102,97,15))</f>
      </c>
      <c r="Q197" s="286"/>
      <c r="R197" s="287"/>
    </row>
    <row r="198" spans="1:18" ht="31.5" customHeight="1">
      <c r="A198" s="279"/>
      <c r="B198" s="117">
        <f>IF(INDEX('参加者データ（要入力）'!$B$3:$O$102,97,1)="","",INDEX('参加者データ（要入力）'!$B$3:$O$102,97,1))</f>
      </c>
      <c r="C198" s="237"/>
      <c r="D198" s="237"/>
      <c r="E198" s="124">
        <f>IF(INDEX('参加者データ（要入力）'!$B$3:$O$102,97,5)="","",INDEX('参加者データ（要入力）'!$B$3:$O$102,97,5))</f>
      </c>
      <c r="F198" s="275"/>
      <c r="G198" s="127" t="s">
        <v>98</v>
      </c>
      <c r="H198" s="132">
        <f>IF(AND(C197="女",F197="A"),"尼","")</f>
      </c>
      <c r="I198" s="176">
        <f>IF(INDEX('参加者データ（要入力）'!$B$3:$O$102,97,10)="","",INDEX('参加者データ（要入力）'!$B$3:$O$102,97,10))</f>
      </c>
      <c r="J198" s="276">
        <f>IF(INDEX('参加者データ（要入力）'!$B$3:$O$102,97,7)="","",INDEX('参加者データ（要入力）'!$B$3:$O$102,97,7))</f>
      </c>
      <c r="K198" s="277" t="str">
        <f>INDEX('参加者データ（要入力）'!$B$2:$O$102,1,6)</f>
        <v>600-8308</v>
      </c>
      <c r="L198" s="277" t="str">
        <f>INDEX('参加者データ（要入力）'!$B$2:$O$102,1,6)</f>
        <v>600-8308</v>
      </c>
      <c r="M198" s="278" t="str">
        <f>INDEX('参加者データ（要入力）'!$B$2:$O$102,1,6)</f>
        <v>600-8308</v>
      </c>
      <c r="N198" s="99">
        <f>IF(INDEX('参加者データ（要入力）'!$B$3:$O$102,97,13)="","",INDEX('参加者データ（要入力）'!$B$3:$O$102,97,13))</f>
      </c>
      <c r="O198" s="284"/>
      <c r="P198" s="288"/>
      <c r="Q198" s="289"/>
      <c r="R198" s="290"/>
    </row>
    <row r="199" spans="1:18" ht="19.5" customHeight="1">
      <c r="A199" s="279">
        <v>98</v>
      </c>
      <c r="B199" s="118">
        <f>IF(INDEX('参加者データ（要入力）'!$B$3:$O$102,98,2)="","",INDEX('参加者データ（要入力）'!$B$3:$O$102,98,2))</f>
      </c>
      <c r="C199" s="280">
        <f>IF(INDEX('参加者データ（要入力）'!$B$3:$O$102,98,3)="","",INDEX('参加者データ（要入力）'!$B$3:$O$102,98,3))</f>
      </c>
      <c r="D199" s="280">
        <f>IF(INDEX('参加者データ（要入力）'!$B$3:$O$102,98,4)="","",INDEX('参加者データ（要入力）'!$B$3:$O$102,98,4))</f>
      </c>
      <c r="E199" s="121">
        <f>IF(INDEX('参加者データ（要入力）'!$B$3:$O$102,98,5)="","",INDEX('参加者データ（要入力）'!$B$3:$O$102,98,5))</f>
      </c>
      <c r="F199" s="274">
        <f>IF(INDEX('参加者データ（要入力）'!$B$3:$O$102,98,9)="","",INDEX('参加者データ（要入力）'!$B$3:$O$102,98,9))</f>
      </c>
      <c r="G199" s="126"/>
      <c r="H199" s="131"/>
      <c r="I199" s="96">
        <f>IF(INDEX('参加者データ（要入力）'!$B$3:$O$102,98,11)="","",INDEX('参加者データ（要入力）'!$B$3:$O$102,98,11))</f>
      </c>
      <c r="J199" s="86" t="s">
        <v>96</v>
      </c>
      <c r="K199" s="97">
        <f>IF(INDEX('参加者データ（要入力）'!$B$3:$O$102,98,6)="","",INDEX('参加者データ（要入力）'!$B$3:$O$102,98,6))</f>
      </c>
      <c r="L199" s="87" t="s">
        <v>97</v>
      </c>
      <c r="M199" s="98">
        <f>IF(INDEX('参加者データ（要入力）'!$B$3:$O$102,98,8)="","",INDEX('参加者データ（要入力）'!$B$3:$O$102,98,8))</f>
      </c>
      <c r="N199" s="95">
        <f>IF(INDEX('参加者データ（要入力）'!$B$3:$O$102,98,12)="","",INDEX('参加者データ（要入力）'!$B$3:$O$102,98,12))</f>
      </c>
      <c r="O199" s="283">
        <f>IF(INDEX('参加者データ（要入力）'!$B$3:$P$102,98,14)="","",INDEX('参加者データ（要入力）'!$B$3:$P$102,98,14))</f>
      </c>
      <c r="P199" s="285">
        <f>IF(INDEX('参加者データ（要入力）'!$B$3:$P$102,98,15)="","",INDEX('参加者データ（要入力）'!$B$3:$P$102,98,15))</f>
      </c>
      <c r="Q199" s="286"/>
      <c r="R199" s="287"/>
    </row>
    <row r="200" spans="1:18" ht="31.5" customHeight="1">
      <c r="A200" s="279"/>
      <c r="B200" s="117">
        <f>IF(INDEX('参加者データ（要入力）'!$B$3:$O$102,98,1)="","",INDEX('参加者データ（要入力）'!$B$3:$O$102,98,1))</f>
      </c>
      <c r="C200" s="237"/>
      <c r="D200" s="237"/>
      <c r="E200" s="124">
        <f>IF(INDEX('参加者データ（要入力）'!$B$3:$O$102,98,5)="","",INDEX('参加者データ（要入力）'!$B$3:$O$102,98,5))</f>
      </c>
      <c r="F200" s="275"/>
      <c r="G200" s="127" t="s">
        <v>98</v>
      </c>
      <c r="H200" s="132">
        <f>IF(AND(C199="女",F199="A"),"尼","")</f>
      </c>
      <c r="I200" s="176">
        <f>IF(INDEX('参加者データ（要入力）'!$B$3:$O$102,98,10)="","",INDEX('参加者データ（要入力）'!$B$3:$O$102,98,10))</f>
      </c>
      <c r="J200" s="276">
        <f>IF(INDEX('参加者データ（要入力）'!$B$3:$O$102,98,7)="","",INDEX('参加者データ（要入力）'!$B$3:$O$102,98,7))</f>
      </c>
      <c r="K200" s="277" t="str">
        <f>INDEX('参加者データ（要入力）'!$B$2:$O$102,1,6)</f>
        <v>600-8308</v>
      </c>
      <c r="L200" s="277" t="str">
        <f>INDEX('参加者データ（要入力）'!$B$2:$O$102,1,6)</f>
        <v>600-8308</v>
      </c>
      <c r="M200" s="278" t="str">
        <f>INDEX('参加者データ（要入力）'!$B$2:$O$102,1,6)</f>
        <v>600-8308</v>
      </c>
      <c r="N200" s="99">
        <f>IF(INDEX('参加者データ（要入力）'!$B$3:$O$102,98,13)="","",INDEX('参加者データ（要入力）'!$B$3:$O$102,98,13))</f>
      </c>
      <c r="O200" s="284"/>
      <c r="P200" s="288"/>
      <c r="Q200" s="289"/>
      <c r="R200" s="290"/>
    </row>
    <row r="201" spans="1:18" ht="19.5" customHeight="1">
      <c r="A201" s="279">
        <v>99</v>
      </c>
      <c r="B201" s="118">
        <f>IF(INDEX('参加者データ（要入力）'!$B$3:$O$102,99,2)="","",INDEX('参加者データ（要入力）'!$B$3:$O$102,99,2))</f>
      </c>
      <c r="C201" s="280">
        <f>IF(INDEX('参加者データ（要入力）'!$B$3:$O$102,99,3)="","",INDEX('参加者データ（要入力）'!$B$3:$O$102,99,3))</f>
      </c>
      <c r="D201" s="237">
        <f>IF(INDEX('参加者データ（要入力）'!$B$3:$O$102,99,4)="","",INDEX('参加者データ（要入力）'!$B$3:$O$102,99,4))</f>
      </c>
      <c r="E201" s="121">
        <f>IF(INDEX('参加者データ（要入力）'!$B$3:$O$102,99,5)="","",INDEX('参加者データ（要入力）'!$B$3:$O$102,99,5))</f>
      </c>
      <c r="F201" s="274">
        <f>IF(INDEX('参加者データ（要入力）'!$B$3:$O$102,99,9)="","",INDEX('参加者データ（要入力）'!$B$3:$O$102,99,9))</f>
      </c>
      <c r="G201" s="126"/>
      <c r="H201" s="131"/>
      <c r="I201" s="96">
        <f>IF(INDEX('参加者データ（要入力）'!$B$3:$O$102,99,11)="","",INDEX('参加者データ（要入力）'!$B$3:$O$102,99,11))</f>
      </c>
      <c r="J201" s="86" t="s">
        <v>96</v>
      </c>
      <c r="K201" s="97">
        <f>IF(INDEX('参加者データ（要入力）'!$B$3:$O$102,99,6)="","",INDEX('参加者データ（要入力）'!$B$3:$O$102,99,6))</f>
      </c>
      <c r="L201" s="87" t="s">
        <v>97</v>
      </c>
      <c r="M201" s="98">
        <f>IF(INDEX('参加者データ（要入力）'!$B$3:$O$102,99,8)="","",INDEX('参加者データ（要入力）'!$B$3:$O$102,99,8))</f>
      </c>
      <c r="N201" s="95">
        <f>IF(INDEX('参加者データ（要入力）'!$B$3:$O$102,99,12)="","",INDEX('参加者データ（要入力）'!$B$3:$O$102,99,12))</f>
      </c>
      <c r="O201" s="283">
        <f>IF(INDEX('参加者データ（要入力）'!$B$3:$P$102,99,14)="","",INDEX('参加者データ（要入力）'!$B$3:$P$102,99,14))</f>
      </c>
      <c r="P201" s="285">
        <f>IF(INDEX('参加者データ（要入力）'!$B$3:$P$102,99,15)="","",INDEX('参加者データ（要入力）'!$B$3:$P$102,99,15))</f>
      </c>
      <c r="Q201" s="286"/>
      <c r="R201" s="287"/>
    </row>
    <row r="202" spans="1:18" ht="31.5" customHeight="1">
      <c r="A202" s="279"/>
      <c r="B202" s="117">
        <f>IF(INDEX('参加者データ（要入力）'!$B$3:$O$102,99,1)="","",INDEX('参加者データ（要入力）'!$B$3:$O$102,99,1))</f>
      </c>
      <c r="C202" s="237"/>
      <c r="D202" s="237"/>
      <c r="E202" s="124">
        <f>IF(INDEX('参加者データ（要入力）'!$B$3:$O$102,99,5)="","",INDEX('参加者データ（要入力）'!$B$3:$O$102,99,5))</f>
      </c>
      <c r="F202" s="275"/>
      <c r="G202" s="127" t="s">
        <v>98</v>
      </c>
      <c r="H202" s="132">
        <f>IF(AND(C201="女",F201="A"),"尼","")</f>
      </c>
      <c r="I202" s="176">
        <f>IF(INDEX('参加者データ（要入力）'!$B$3:$O$102,99,10)="","",INDEX('参加者データ（要入力）'!$B$3:$O$102,99,10))</f>
      </c>
      <c r="J202" s="276">
        <f>IF(INDEX('参加者データ（要入力）'!$B$3:$O$102,99,7)="","",INDEX('参加者データ（要入力）'!$B$3:$O$102,99,7))</f>
      </c>
      <c r="K202" s="277" t="str">
        <f>INDEX('参加者データ（要入力）'!$B$2:$O$102,1,6)</f>
        <v>600-8308</v>
      </c>
      <c r="L202" s="277" t="str">
        <f>INDEX('参加者データ（要入力）'!$B$2:$O$102,1,6)</f>
        <v>600-8308</v>
      </c>
      <c r="M202" s="278" t="str">
        <f>INDEX('参加者データ（要入力）'!$B$2:$O$102,1,6)</f>
        <v>600-8308</v>
      </c>
      <c r="N202" s="99">
        <f>IF(INDEX('参加者データ（要入力）'!$B$3:$O$102,99,13)="","",INDEX('参加者データ（要入力）'!$B$3:$O$102,99,13))</f>
      </c>
      <c r="O202" s="284"/>
      <c r="P202" s="288"/>
      <c r="Q202" s="289"/>
      <c r="R202" s="290"/>
    </row>
    <row r="203" spans="1:18" ht="19.5" customHeight="1">
      <c r="A203" s="281">
        <v>100</v>
      </c>
      <c r="B203" s="118">
        <f>IF(INDEX('参加者データ（要入力）'!$B$3:$O$102,100,2)="","",INDEX('参加者データ（要入力）'!$B$3:$O$102,100,2))</f>
      </c>
      <c r="C203" s="280">
        <f>IF(INDEX('参加者データ（要入力）'!$B$3:$O$102,100,3)="","",INDEX('参加者データ（要入力）'!$B$3:$O$102,100,3))</f>
      </c>
      <c r="D203" s="280">
        <f>IF(INDEX('参加者データ（要入力）'!$B$3:$O$102,100,4)="","",INDEX('参加者データ（要入力）'!$B$3:$O$102,100,4))</f>
      </c>
      <c r="E203" s="121">
        <f>IF(INDEX('参加者データ（要入力）'!$B$3:$O$102,100,5)="","",INDEX('参加者データ（要入力）'!$B$3:$O$102,100,5))</f>
      </c>
      <c r="F203" s="274">
        <f>IF(INDEX('参加者データ（要入力）'!$B$3:$O$102,100,9)="","",INDEX('参加者データ（要入力）'!$B$3:$O$102,100,9))</f>
      </c>
      <c r="G203" s="126"/>
      <c r="H203" s="131"/>
      <c r="I203" s="96">
        <f>IF(INDEX('参加者データ（要入力）'!$B$3:$O$102,100,11)="","",INDEX('参加者データ（要入力）'!$B$3:$O$102,100,11))</f>
      </c>
      <c r="J203" s="86" t="s">
        <v>96</v>
      </c>
      <c r="K203" s="97">
        <f>IF(INDEX('参加者データ（要入力）'!$B$3:$O$102,100,6)="","",INDEX('参加者データ（要入力）'!$B$3:$O$102,100,6))</f>
      </c>
      <c r="L203" s="87" t="s">
        <v>97</v>
      </c>
      <c r="M203" s="98">
        <f>IF(INDEX('参加者データ（要入力）'!$B$3:$O$102,100,8)="","",INDEX('参加者データ（要入力）'!$B$3:$O$102,100,8))</f>
      </c>
      <c r="N203" s="95">
        <f>IF(INDEX('参加者データ（要入力）'!$B$3:$O$102,100,12)="","",INDEX('参加者データ（要入力）'!$B$3:$O$102,100,12))</f>
      </c>
      <c r="O203" s="283">
        <f>IF(INDEX('参加者データ（要入力）'!$B$3:$P$102,100,14)="","",INDEX('参加者データ（要入力）'!$B$3:$P$102,100,14))</f>
      </c>
      <c r="P203" s="285">
        <f>IF(INDEX('参加者データ（要入力）'!$B$3:$P$102,100,15)="","",INDEX('参加者データ（要入力）'!$B$3:$P$102,100,15))</f>
      </c>
      <c r="Q203" s="286"/>
      <c r="R203" s="287"/>
    </row>
    <row r="204" spans="1:18" ht="31.5" customHeight="1">
      <c r="A204" s="282"/>
      <c r="B204" s="117">
        <f>IF(INDEX('参加者データ（要入力）'!$B$3:$O$102,100,1)="","",INDEX('参加者データ（要入力）'!$B$3:$O$102,100,1))</f>
      </c>
      <c r="C204" s="237"/>
      <c r="D204" s="237"/>
      <c r="E204" s="122">
        <f>IF(INDEX('参加者データ（要入力）'!$B$3:$O$102,100,5)="","",INDEX('参加者データ（要入力）'!$B$3:$O$102,100,5))</f>
      </c>
      <c r="F204" s="275"/>
      <c r="G204" s="127" t="s">
        <v>98</v>
      </c>
      <c r="H204" s="132">
        <f>IF(AND(C203="女",F203="A"),"尼","")</f>
      </c>
      <c r="I204" s="176">
        <f>IF(INDEX('参加者データ（要入力）'!$B$3:$O$102,100,10)="","",INDEX('参加者データ（要入力）'!$B$3:$O$102,100,10))</f>
      </c>
      <c r="J204" s="276">
        <f>IF(INDEX('参加者データ（要入力）'!$B$3:$O$102,100,7)="","",INDEX('参加者データ（要入力）'!$B$3:$O$102,100,7))</f>
      </c>
      <c r="K204" s="277" t="str">
        <f>INDEX('参加者データ（要入力）'!$B$2:$O$102,1,6)</f>
        <v>600-8308</v>
      </c>
      <c r="L204" s="277" t="str">
        <f>INDEX('参加者データ（要入力）'!$B$2:$O$102,1,6)</f>
        <v>600-8308</v>
      </c>
      <c r="M204" s="278" t="str">
        <f>INDEX('参加者データ（要入力）'!$B$2:$O$102,1,6)</f>
        <v>600-8308</v>
      </c>
      <c r="N204" s="99">
        <f>IF(INDEX('参加者データ（要入力）'!$B$3:$O$102,100,13)="","",INDEX('参加者データ（要入力）'!$B$3:$O$102,100,13))</f>
      </c>
      <c r="O204" s="284"/>
      <c r="P204" s="288"/>
      <c r="Q204" s="289"/>
      <c r="R204" s="290"/>
    </row>
    <row r="205" ht="12.75">
      <c r="H205" s="135"/>
    </row>
    <row r="206" ht="12.75">
      <c r="H206" s="136"/>
    </row>
    <row r="207" ht="12.75">
      <c r="H207" s="136"/>
    </row>
    <row r="208" ht="12.75">
      <c r="H208" s="136"/>
    </row>
    <row r="209" ht="12.75">
      <c r="H209" s="136"/>
    </row>
    <row r="210" ht="12.75">
      <c r="H210" s="136"/>
    </row>
    <row r="211" ht="12.75">
      <c r="H211" s="136"/>
    </row>
    <row r="212" ht="12.75">
      <c r="H212" s="136"/>
    </row>
    <row r="213" ht="12.75">
      <c r="H213" s="136"/>
    </row>
    <row r="214" ht="12.75">
      <c r="H214" s="136"/>
    </row>
    <row r="215" ht="12.75">
      <c r="H215" s="136"/>
    </row>
    <row r="216" ht="12.75">
      <c r="H216" s="136"/>
    </row>
    <row r="217" ht="12.75">
      <c r="H217" s="136"/>
    </row>
    <row r="218" ht="12.75">
      <c r="H218" s="136"/>
    </row>
    <row r="219" ht="12.75">
      <c r="H219" s="136"/>
    </row>
    <row r="220" ht="12.75">
      <c r="H220" s="136"/>
    </row>
    <row r="221" ht="12.75">
      <c r="H221" s="136"/>
    </row>
    <row r="222" ht="12.75">
      <c r="H222" s="136"/>
    </row>
    <row r="223" ht="12.75">
      <c r="H223" s="136"/>
    </row>
    <row r="224" ht="12.75">
      <c r="H224" s="136"/>
    </row>
    <row r="225" ht="12.75">
      <c r="H225" s="136"/>
    </row>
    <row r="226" ht="12.75">
      <c r="H226" s="136"/>
    </row>
    <row r="227" ht="12.75">
      <c r="H227" s="136"/>
    </row>
    <row r="228" ht="12.75">
      <c r="H228" s="136"/>
    </row>
    <row r="229" ht="12.75">
      <c r="H229" s="136"/>
    </row>
    <row r="230" ht="12.75">
      <c r="H230" s="136"/>
    </row>
    <row r="231" ht="12.75">
      <c r="H231" s="136"/>
    </row>
    <row r="232" ht="12.75">
      <c r="H232" s="136"/>
    </row>
    <row r="233" ht="12.75">
      <c r="H233" s="136"/>
    </row>
    <row r="234" ht="12.75">
      <c r="H234" s="136"/>
    </row>
    <row r="235" ht="12.75">
      <c r="H235" s="136"/>
    </row>
    <row r="236" ht="12.75">
      <c r="H236" s="136"/>
    </row>
    <row r="237" ht="12.75">
      <c r="H237" s="136"/>
    </row>
    <row r="238" ht="12.75">
      <c r="H238" s="136"/>
    </row>
    <row r="239" ht="12.75">
      <c r="H239" s="136"/>
    </row>
    <row r="240" ht="12.75">
      <c r="H240" s="136"/>
    </row>
    <row r="241" ht="12.75">
      <c r="H241" s="136"/>
    </row>
    <row r="242" ht="12.75">
      <c r="H242" s="136"/>
    </row>
    <row r="243" ht="12.75">
      <c r="H243" s="136"/>
    </row>
    <row r="244" ht="12.75">
      <c r="H244" s="136"/>
    </row>
    <row r="245" ht="12.75">
      <c r="H245" s="136"/>
    </row>
    <row r="246" ht="12.75">
      <c r="H246" s="136"/>
    </row>
    <row r="247" ht="12.75">
      <c r="H247" s="136"/>
    </row>
    <row r="248" ht="12.75">
      <c r="H248" s="136"/>
    </row>
    <row r="249" ht="12.75">
      <c r="H249" s="136"/>
    </row>
    <row r="250" ht="12.75">
      <c r="H250" s="136"/>
    </row>
    <row r="251" ht="12.75">
      <c r="H251" s="136"/>
    </row>
    <row r="252" ht="12.75">
      <c r="H252" s="136"/>
    </row>
    <row r="253" ht="12.75">
      <c r="H253" s="136"/>
    </row>
    <row r="254" ht="12.75">
      <c r="H254" s="136"/>
    </row>
    <row r="255" ht="12.75">
      <c r="H255" s="136"/>
    </row>
    <row r="256" ht="12.75">
      <c r="H256" s="136"/>
    </row>
    <row r="257" ht="12.75">
      <c r="H257" s="136"/>
    </row>
    <row r="258" ht="12.75">
      <c r="H258" s="136"/>
    </row>
    <row r="259" ht="12.75">
      <c r="H259" s="136"/>
    </row>
    <row r="260" ht="12.75">
      <c r="H260" s="136"/>
    </row>
    <row r="261" ht="12.75">
      <c r="H261" s="136"/>
    </row>
    <row r="262" ht="12.75">
      <c r="H262" s="136"/>
    </row>
    <row r="263" ht="12.75">
      <c r="H263" s="136"/>
    </row>
    <row r="264" ht="12.75">
      <c r="H264" s="136"/>
    </row>
    <row r="265" ht="12.75">
      <c r="H265" s="136"/>
    </row>
    <row r="266" ht="12.75">
      <c r="H266" s="136"/>
    </row>
    <row r="267" ht="12.75">
      <c r="H267" s="136"/>
    </row>
    <row r="268" ht="12.75">
      <c r="H268" s="136"/>
    </row>
    <row r="269" ht="12.75">
      <c r="H269" s="136"/>
    </row>
    <row r="270" ht="12.75">
      <c r="H270" s="136"/>
    </row>
    <row r="271" ht="12.75">
      <c r="H271" s="136"/>
    </row>
    <row r="272" ht="12.75">
      <c r="H272" s="136"/>
    </row>
    <row r="273" ht="12.75">
      <c r="H273" s="136"/>
    </row>
    <row r="274" ht="12.75">
      <c r="H274" s="136"/>
    </row>
    <row r="275" ht="12.75">
      <c r="H275" s="136"/>
    </row>
    <row r="276" ht="12.75">
      <c r="H276" s="136"/>
    </row>
    <row r="277" ht="12.75">
      <c r="H277" s="136"/>
    </row>
    <row r="278" ht="12.75">
      <c r="H278" s="136"/>
    </row>
    <row r="279" ht="12.75">
      <c r="H279" s="136"/>
    </row>
    <row r="280" ht="12.75">
      <c r="H280" s="136"/>
    </row>
    <row r="281" ht="12.75">
      <c r="H281" s="136"/>
    </row>
    <row r="282" ht="12.75">
      <c r="H282" s="136"/>
    </row>
    <row r="283" ht="12.75">
      <c r="H283" s="136"/>
    </row>
    <row r="284" ht="12.75">
      <c r="H284" s="136"/>
    </row>
    <row r="285" ht="12.75">
      <c r="H285" s="136"/>
    </row>
    <row r="286" ht="12.75">
      <c r="H286" s="136"/>
    </row>
    <row r="287" ht="12.75">
      <c r="H287" s="136"/>
    </row>
    <row r="288" ht="12.75">
      <c r="H288" s="136"/>
    </row>
    <row r="289" ht="12.75">
      <c r="H289" s="136"/>
    </row>
    <row r="290" ht="12.75">
      <c r="H290" s="136"/>
    </row>
    <row r="291" ht="12.75">
      <c r="H291" s="136"/>
    </row>
    <row r="292" ht="12.75">
      <c r="H292" s="136"/>
    </row>
    <row r="293" ht="12.75">
      <c r="H293" s="136"/>
    </row>
    <row r="294" ht="12.75">
      <c r="H294" s="136"/>
    </row>
    <row r="295" ht="12.75">
      <c r="H295" s="136"/>
    </row>
    <row r="296" ht="12.75">
      <c r="H296" s="136"/>
    </row>
    <row r="297" ht="12.75">
      <c r="H297" s="136"/>
    </row>
    <row r="298" ht="12.75">
      <c r="H298" s="136"/>
    </row>
    <row r="299" ht="12.75">
      <c r="H299" s="136"/>
    </row>
    <row r="300" ht="12.75">
      <c r="H300" s="136"/>
    </row>
    <row r="301" ht="12.75">
      <c r="H301" s="136"/>
    </row>
    <row r="302" ht="12.75">
      <c r="H302" s="136"/>
    </row>
    <row r="303" ht="12.75">
      <c r="H303" s="136"/>
    </row>
    <row r="304" ht="12.75">
      <c r="H304" s="136"/>
    </row>
    <row r="305" ht="12.75">
      <c r="H305" s="136"/>
    </row>
    <row r="306" ht="12.75">
      <c r="H306" s="136"/>
    </row>
    <row r="307" ht="12.75">
      <c r="H307" s="136"/>
    </row>
    <row r="308" ht="12.75">
      <c r="H308" s="136"/>
    </row>
    <row r="309" ht="12.75">
      <c r="H309" s="136"/>
    </row>
    <row r="310" ht="12.75">
      <c r="H310" s="136"/>
    </row>
    <row r="311" ht="12.75">
      <c r="H311" s="136"/>
    </row>
    <row r="312" ht="12.75">
      <c r="H312" s="136"/>
    </row>
    <row r="313" ht="12.75">
      <c r="H313" s="136"/>
    </row>
    <row r="314" ht="12.75">
      <c r="H314" s="136"/>
    </row>
    <row r="315" ht="12.75">
      <c r="H315" s="136"/>
    </row>
    <row r="316" ht="12.75">
      <c r="H316" s="136"/>
    </row>
    <row r="317" ht="12.75">
      <c r="H317" s="136"/>
    </row>
    <row r="318" ht="12.75">
      <c r="H318" s="136"/>
    </row>
    <row r="319" ht="12.75">
      <c r="H319" s="136"/>
    </row>
    <row r="320" ht="12.75">
      <c r="H320" s="136"/>
    </row>
    <row r="321" ht="12.75">
      <c r="H321" s="136"/>
    </row>
    <row r="322" ht="12.75">
      <c r="H322" s="136"/>
    </row>
    <row r="323" ht="12.75">
      <c r="H323" s="136"/>
    </row>
    <row r="324" ht="12.75">
      <c r="H324" s="136"/>
    </row>
    <row r="325" ht="12.75">
      <c r="H325" s="136"/>
    </row>
    <row r="326" ht="12.75">
      <c r="H326" s="136"/>
    </row>
    <row r="327" ht="12.75">
      <c r="H327" s="136"/>
    </row>
    <row r="328" ht="12.75">
      <c r="H328" s="136"/>
    </row>
    <row r="329" ht="12.75">
      <c r="H329" s="136"/>
    </row>
    <row r="330" ht="12.75">
      <c r="H330" s="136"/>
    </row>
    <row r="331" ht="12.75">
      <c r="H331" s="136"/>
    </row>
    <row r="332" ht="12.75">
      <c r="H332" s="136"/>
    </row>
    <row r="333" ht="12.75">
      <c r="H333" s="136"/>
    </row>
    <row r="334" ht="12.75">
      <c r="H334" s="136"/>
    </row>
    <row r="335" ht="12.75">
      <c r="H335" s="136"/>
    </row>
    <row r="336" ht="12.75">
      <c r="H336" s="136"/>
    </row>
    <row r="337" ht="12.75">
      <c r="H337" s="136"/>
    </row>
    <row r="338" ht="12.75">
      <c r="H338" s="136"/>
    </row>
    <row r="339" ht="12.75">
      <c r="H339" s="136"/>
    </row>
    <row r="340" ht="12.75">
      <c r="H340" s="136"/>
    </row>
    <row r="341" ht="12.75">
      <c r="H341" s="136"/>
    </row>
    <row r="342" ht="12.75">
      <c r="H342" s="136"/>
    </row>
    <row r="343" ht="12.75">
      <c r="H343" s="136"/>
    </row>
    <row r="344" ht="12.75">
      <c r="H344" s="136"/>
    </row>
    <row r="345" ht="12.75">
      <c r="H345" s="136"/>
    </row>
    <row r="346" ht="12.75">
      <c r="H346" s="136"/>
    </row>
    <row r="347" ht="12.75">
      <c r="H347" s="136"/>
    </row>
    <row r="348" ht="12.75">
      <c r="H348" s="136"/>
    </row>
    <row r="349" ht="12.75">
      <c r="H349" s="136"/>
    </row>
    <row r="350" ht="12.75">
      <c r="H350" s="136"/>
    </row>
    <row r="351" ht="12.75">
      <c r="H351" s="136"/>
    </row>
    <row r="352" ht="12.75">
      <c r="H352" s="136"/>
    </row>
    <row r="353" ht="12.75">
      <c r="H353" s="136"/>
    </row>
    <row r="354" ht="12.75">
      <c r="H354" s="136"/>
    </row>
    <row r="355" ht="12.75">
      <c r="H355" s="136"/>
    </row>
    <row r="356" ht="12.75">
      <c r="H356" s="136"/>
    </row>
    <row r="357" ht="12.75">
      <c r="H357" s="136"/>
    </row>
    <row r="358" ht="12.75">
      <c r="H358" s="136"/>
    </row>
    <row r="359" ht="12.75">
      <c r="H359" s="136"/>
    </row>
    <row r="360" ht="12.75">
      <c r="H360" s="136"/>
    </row>
    <row r="361" ht="12.75">
      <c r="H361" s="136"/>
    </row>
    <row r="362" ht="12.75">
      <c r="H362" s="136"/>
    </row>
    <row r="363" ht="12.75">
      <c r="H363" s="136"/>
    </row>
    <row r="364" ht="12.75">
      <c r="H364" s="136"/>
    </row>
    <row r="365" ht="12.75">
      <c r="H365" s="136"/>
    </row>
    <row r="366" ht="12.75">
      <c r="H366" s="136"/>
    </row>
    <row r="367" ht="12.75">
      <c r="H367" s="136"/>
    </row>
    <row r="368" ht="12.75">
      <c r="H368" s="136"/>
    </row>
    <row r="369" ht="12.75">
      <c r="H369" s="136"/>
    </row>
    <row r="370" ht="12.75">
      <c r="H370" s="136"/>
    </row>
    <row r="371" ht="12.75">
      <c r="H371" s="136"/>
    </row>
    <row r="372" ht="12.75">
      <c r="H372" s="136"/>
    </row>
    <row r="373" ht="12.75">
      <c r="H373" s="136"/>
    </row>
    <row r="374" ht="12.75">
      <c r="H374" s="136"/>
    </row>
    <row r="375" ht="12.75">
      <c r="H375" s="136"/>
    </row>
  </sheetData>
  <sheetProtection sheet="1" objects="1" scenarios="1" formatCells="0" formatColumns="0" formatRows="0" deleteColumns="0" deleteRows="0" selectLockedCells="1" selectUnlockedCells="1"/>
  <mergeCells count="715">
    <mergeCell ref="P201:R202"/>
    <mergeCell ref="P203:R204"/>
    <mergeCell ref="P189:R190"/>
    <mergeCell ref="P191:R192"/>
    <mergeCell ref="P193:R194"/>
    <mergeCell ref="P195:R196"/>
    <mergeCell ref="P197:R198"/>
    <mergeCell ref="P199:R200"/>
    <mergeCell ref="P177:R178"/>
    <mergeCell ref="P179:R180"/>
    <mergeCell ref="P181:R182"/>
    <mergeCell ref="P183:R184"/>
    <mergeCell ref="P185:R186"/>
    <mergeCell ref="P187:R188"/>
    <mergeCell ref="P165:R166"/>
    <mergeCell ref="P167:R168"/>
    <mergeCell ref="P169:R170"/>
    <mergeCell ref="P171:R172"/>
    <mergeCell ref="P173:R174"/>
    <mergeCell ref="P175:R176"/>
    <mergeCell ref="P153:R154"/>
    <mergeCell ref="P155:R156"/>
    <mergeCell ref="P157:R158"/>
    <mergeCell ref="P159:R160"/>
    <mergeCell ref="P161:R162"/>
    <mergeCell ref="P163:R164"/>
    <mergeCell ref="P141:R142"/>
    <mergeCell ref="P143:R144"/>
    <mergeCell ref="P145:R146"/>
    <mergeCell ref="P147:R148"/>
    <mergeCell ref="P149:R150"/>
    <mergeCell ref="P151:R152"/>
    <mergeCell ref="P129:R130"/>
    <mergeCell ref="P131:R132"/>
    <mergeCell ref="P133:R134"/>
    <mergeCell ref="P135:R136"/>
    <mergeCell ref="P137:R138"/>
    <mergeCell ref="P139:R140"/>
    <mergeCell ref="P117:R118"/>
    <mergeCell ref="P119:R120"/>
    <mergeCell ref="P121:R122"/>
    <mergeCell ref="P123:R124"/>
    <mergeCell ref="P125:R126"/>
    <mergeCell ref="P127:R128"/>
    <mergeCell ref="P105:R106"/>
    <mergeCell ref="P107:R108"/>
    <mergeCell ref="P109:R110"/>
    <mergeCell ref="P111:R112"/>
    <mergeCell ref="P113:R114"/>
    <mergeCell ref="P115:R116"/>
    <mergeCell ref="P93:R94"/>
    <mergeCell ref="P95:R96"/>
    <mergeCell ref="P97:R98"/>
    <mergeCell ref="P99:R100"/>
    <mergeCell ref="P101:R102"/>
    <mergeCell ref="P103:R104"/>
    <mergeCell ref="P73:R74"/>
    <mergeCell ref="P75:R76"/>
    <mergeCell ref="P77:R78"/>
    <mergeCell ref="P79:R80"/>
    <mergeCell ref="P81:R82"/>
    <mergeCell ref="P87:R88"/>
    <mergeCell ref="P83:R84"/>
    <mergeCell ref="P85:R86"/>
    <mergeCell ref="P61:R62"/>
    <mergeCell ref="P63:R64"/>
    <mergeCell ref="P65:R66"/>
    <mergeCell ref="P67:R68"/>
    <mergeCell ref="P69:R70"/>
    <mergeCell ref="P71:R72"/>
    <mergeCell ref="O3:O4"/>
    <mergeCell ref="P55:R56"/>
    <mergeCell ref="P57:R58"/>
    <mergeCell ref="P59:R60"/>
    <mergeCell ref="P47:R48"/>
    <mergeCell ref="P49:R50"/>
    <mergeCell ref="P51:R52"/>
    <mergeCell ref="P53:R54"/>
    <mergeCell ref="P39:R40"/>
    <mergeCell ref="P41:R42"/>
    <mergeCell ref="P43:R44"/>
    <mergeCell ref="P45:R46"/>
    <mergeCell ref="P13:R14"/>
    <mergeCell ref="P15:R16"/>
    <mergeCell ref="P23:R24"/>
    <mergeCell ref="P31:R32"/>
    <mergeCell ref="P33:R34"/>
    <mergeCell ref="P35:R36"/>
    <mergeCell ref="P37:R38"/>
    <mergeCell ref="P25:R26"/>
    <mergeCell ref="O11:O12"/>
    <mergeCell ref="O9:O10"/>
    <mergeCell ref="O7:O8"/>
    <mergeCell ref="O5:O6"/>
    <mergeCell ref="P5:R6"/>
    <mergeCell ref="P7:R8"/>
    <mergeCell ref="P9:R10"/>
    <mergeCell ref="P11:R12"/>
    <mergeCell ref="O47:O48"/>
    <mergeCell ref="O45:O46"/>
    <mergeCell ref="O43:O44"/>
    <mergeCell ref="O31:O32"/>
    <mergeCell ref="O23:O24"/>
    <mergeCell ref="O39:O40"/>
    <mergeCell ref="O37:O38"/>
    <mergeCell ref="O35:O36"/>
    <mergeCell ref="O33:O34"/>
    <mergeCell ref="O59:O60"/>
    <mergeCell ref="O57:O58"/>
    <mergeCell ref="O55:O56"/>
    <mergeCell ref="O53:O54"/>
    <mergeCell ref="O51:O52"/>
    <mergeCell ref="O49:O50"/>
    <mergeCell ref="O71:O72"/>
    <mergeCell ref="O69:O70"/>
    <mergeCell ref="O67:O68"/>
    <mergeCell ref="O65:O66"/>
    <mergeCell ref="O63:O64"/>
    <mergeCell ref="O61:O62"/>
    <mergeCell ref="O79:O80"/>
    <mergeCell ref="O85:O86"/>
    <mergeCell ref="O83:O84"/>
    <mergeCell ref="O77:O78"/>
    <mergeCell ref="O75:O76"/>
    <mergeCell ref="O73:O74"/>
    <mergeCell ref="O99:O100"/>
    <mergeCell ref="O97:O98"/>
    <mergeCell ref="O95:O96"/>
    <mergeCell ref="O93:O94"/>
    <mergeCell ref="O91:O92"/>
    <mergeCell ref="O81:O82"/>
    <mergeCell ref="O87:O88"/>
    <mergeCell ref="O111:O112"/>
    <mergeCell ref="O107:O108"/>
    <mergeCell ref="O109:O110"/>
    <mergeCell ref="O105:O106"/>
    <mergeCell ref="O103:O104"/>
    <mergeCell ref="O101:O102"/>
    <mergeCell ref="O123:O124"/>
    <mergeCell ref="O121:O122"/>
    <mergeCell ref="O119:O120"/>
    <mergeCell ref="O117:O118"/>
    <mergeCell ref="O115:O116"/>
    <mergeCell ref="O113:O114"/>
    <mergeCell ref="O135:O136"/>
    <mergeCell ref="O133:O134"/>
    <mergeCell ref="O131:O132"/>
    <mergeCell ref="O129:O130"/>
    <mergeCell ref="O127:O128"/>
    <mergeCell ref="O125:O126"/>
    <mergeCell ref="A51:A52"/>
    <mergeCell ref="D51:D52"/>
    <mergeCell ref="C51:C52"/>
    <mergeCell ref="O149:O150"/>
    <mergeCell ref="O147:O148"/>
    <mergeCell ref="O145:O146"/>
    <mergeCell ref="O143:O144"/>
    <mergeCell ref="O141:O142"/>
    <mergeCell ref="O139:O140"/>
    <mergeCell ref="O137:O138"/>
    <mergeCell ref="J52:M52"/>
    <mergeCell ref="J48:M48"/>
    <mergeCell ref="J50:M50"/>
    <mergeCell ref="H1:I1"/>
    <mergeCell ref="A1:F1"/>
    <mergeCell ref="F51:F52"/>
    <mergeCell ref="F35:F36"/>
    <mergeCell ref="F37:F38"/>
    <mergeCell ref="F39:F40"/>
    <mergeCell ref="F41:F42"/>
    <mergeCell ref="A53:A54"/>
    <mergeCell ref="D53:D54"/>
    <mergeCell ref="C53:C54"/>
    <mergeCell ref="F53:F54"/>
    <mergeCell ref="A55:A56"/>
    <mergeCell ref="D55:D56"/>
    <mergeCell ref="C55:C56"/>
    <mergeCell ref="F55:F56"/>
    <mergeCell ref="A47:A48"/>
    <mergeCell ref="D47:D48"/>
    <mergeCell ref="C47:C48"/>
    <mergeCell ref="F47:F48"/>
    <mergeCell ref="A49:A50"/>
    <mergeCell ref="D49:D50"/>
    <mergeCell ref="C49:C50"/>
    <mergeCell ref="F49:F50"/>
    <mergeCell ref="A43:A44"/>
    <mergeCell ref="D43:D44"/>
    <mergeCell ref="C43:C44"/>
    <mergeCell ref="F43:F44"/>
    <mergeCell ref="A45:A46"/>
    <mergeCell ref="D45:D46"/>
    <mergeCell ref="C45:C46"/>
    <mergeCell ref="F45:F46"/>
    <mergeCell ref="D41:D42"/>
    <mergeCell ref="C41:C42"/>
    <mergeCell ref="O151:O152"/>
    <mergeCell ref="J42:M42"/>
    <mergeCell ref="O41:O42"/>
    <mergeCell ref="J108:M108"/>
    <mergeCell ref="J66:M66"/>
    <mergeCell ref="J58:M58"/>
    <mergeCell ref="J60:M60"/>
    <mergeCell ref="J54:M54"/>
    <mergeCell ref="J44:M44"/>
    <mergeCell ref="J56:M56"/>
    <mergeCell ref="A37:A38"/>
    <mergeCell ref="D37:D38"/>
    <mergeCell ref="C37:C38"/>
    <mergeCell ref="J40:M40"/>
    <mergeCell ref="A39:A40"/>
    <mergeCell ref="D39:D40"/>
    <mergeCell ref="C39:C40"/>
    <mergeCell ref="A41:A42"/>
    <mergeCell ref="J36:M36"/>
    <mergeCell ref="A35:A36"/>
    <mergeCell ref="D35:D36"/>
    <mergeCell ref="C35:C36"/>
    <mergeCell ref="J38:M38"/>
    <mergeCell ref="O159:O160"/>
    <mergeCell ref="O157:O158"/>
    <mergeCell ref="O155:O156"/>
    <mergeCell ref="O153:O154"/>
    <mergeCell ref="J46:M46"/>
    <mergeCell ref="A31:A32"/>
    <mergeCell ref="D31:D32"/>
    <mergeCell ref="C31:C32"/>
    <mergeCell ref="F31:F32"/>
    <mergeCell ref="C33:C34"/>
    <mergeCell ref="F33:F34"/>
    <mergeCell ref="A33:A34"/>
    <mergeCell ref="D33:D34"/>
    <mergeCell ref="O183:O184"/>
    <mergeCell ref="O181:O182"/>
    <mergeCell ref="O175:O176"/>
    <mergeCell ref="O173:O174"/>
    <mergeCell ref="O179:O180"/>
    <mergeCell ref="O177:O178"/>
    <mergeCell ref="O171:O172"/>
    <mergeCell ref="O169:O170"/>
    <mergeCell ref="P27:R28"/>
    <mergeCell ref="P29:R30"/>
    <mergeCell ref="A27:A28"/>
    <mergeCell ref="D27:D28"/>
    <mergeCell ref="C27:C28"/>
    <mergeCell ref="F27:F28"/>
    <mergeCell ref="A29:A30"/>
    <mergeCell ref="D29:D30"/>
    <mergeCell ref="C29:C30"/>
    <mergeCell ref="F29:F30"/>
    <mergeCell ref="O187:O188"/>
    <mergeCell ref="J24:M24"/>
    <mergeCell ref="J28:M28"/>
    <mergeCell ref="J30:M30"/>
    <mergeCell ref="O29:O30"/>
    <mergeCell ref="O27:O28"/>
    <mergeCell ref="O25:O26"/>
    <mergeCell ref="O185:O186"/>
    <mergeCell ref="J34:M34"/>
    <mergeCell ref="J32:M32"/>
    <mergeCell ref="O203:O204"/>
    <mergeCell ref="O201:O202"/>
    <mergeCell ref="O199:O200"/>
    <mergeCell ref="O197:O198"/>
    <mergeCell ref="O195:O196"/>
    <mergeCell ref="O193:O194"/>
    <mergeCell ref="J74:M74"/>
    <mergeCell ref="J110:M110"/>
    <mergeCell ref="J26:M26"/>
    <mergeCell ref="A25:A26"/>
    <mergeCell ref="D25:D26"/>
    <mergeCell ref="A23:A24"/>
    <mergeCell ref="D23:D24"/>
    <mergeCell ref="C23:C24"/>
    <mergeCell ref="F23:F24"/>
    <mergeCell ref="C25:C26"/>
    <mergeCell ref="F25:F26"/>
    <mergeCell ref="A19:A20"/>
    <mergeCell ref="D19:D20"/>
    <mergeCell ref="C19:C20"/>
    <mergeCell ref="F19:F20"/>
    <mergeCell ref="A21:A22"/>
    <mergeCell ref="D21:D22"/>
    <mergeCell ref="C21:C22"/>
    <mergeCell ref="F21:F22"/>
    <mergeCell ref="J20:M20"/>
    <mergeCell ref="J22:M22"/>
    <mergeCell ref="O21:O22"/>
    <mergeCell ref="O19:O20"/>
    <mergeCell ref="P17:R18"/>
    <mergeCell ref="P19:R20"/>
    <mergeCell ref="P21:R22"/>
    <mergeCell ref="J18:M18"/>
    <mergeCell ref="A17:A18"/>
    <mergeCell ref="O17:O18"/>
    <mergeCell ref="O15:O16"/>
    <mergeCell ref="D17:D18"/>
    <mergeCell ref="C17:C18"/>
    <mergeCell ref="F17:F18"/>
    <mergeCell ref="O13:O14"/>
    <mergeCell ref="F13:F14"/>
    <mergeCell ref="J16:M16"/>
    <mergeCell ref="A15:A16"/>
    <mergeCell ref="D15:D16"/>
    <mergeCell ref="C15:C16"/>
    <mergeCell ref="F15:F16"/>
    <mergeCell ref="J14:M14"/>
    <mergeCell ref="A13:A14"/>
    <mergeCell ref="D13:D14"/>
    <mergeCell ref="A9:A10"/>
    <mergeCell ref="D9:D10"/>
    <mergeCell ref="C9:C10"/>
    <mergeCell ref="F9:F10"/>
    <mergeCell ref="C13:C14"/>
    <mergeCell ref="J12:M12"/>
    <mergeCell ref="A11:A12"/>
    <mergeCell ref="D11:D12"/>
    <mergeCell ref="C11:C12"/>
    <mergeCell ref="F11:F12"/>
    <mergeCell ref="C7:C8"/>
    <mergeCell ref="F7:F8"/>
    <mergeCell ref="J6:M6"/>
    <mergeCell ref="A5:A6"/>
    <mergeCell ref="D5:D6"/>
    <mergeCell ref="C5:C6"/>
    <mergeCell ref="J64:M64"/>
    <mergeCell ref="A3:A4"/>
    <mergeCell ref="D3:D4"/>
    <mergeCell ref="C3:C4"/>
    <mergeCell ref="E3:E4"/>
    <mergeCell ref="G3:I3"/>
    <mergeCell ref="G4:I4"/>
    <mergeCell ref="F3:F4"/>
    <mergeCell ref="A7:A8"/>
    <mergeCell ref="D7:D8"/>
    <mergeCell ref="C67:C68"/>
    <mergeCell ref="F61:F62"/>
    <mergeCell ref="F65:F66"/>
    <mergeCell ref="J62:M62"/>
    <mergeCell ref="F5:F6"/>
    <mergeCell ref="P3:R4"/>
    <mergeCell ref="J3:K3"/>
    <mergeCell ref="L3:M3"/>
    <mergeCell ref="J8:M8"/>
    <mergeCell ref="J10:M10"/>
    <mergeCell ref="F63:F64"/>
    <mergeCell ref="D57:D58"/>
    <mergeCell ref="C57:C58"/>
    <mergeCell ref="F59:F60"/>
    <mergeCell ref="J4:M4"/>
    <mergeCell ref="F73:F74"/>
    <mergeCell ref="F67:F68"/>
    <mergeCell ref="J68:M68"/>
    <mergeCell ref="F69:F70"/>
    <mergeCell ref="J70:M70"/>
    <mergeCell ref="A57:A58"/>
    <mergeCell ref="F57:F58"/>
    <mergeCell ref="A61:A62"/>
    <mergeCell ref="D61:D62"/>
    <mergeCell ref="C61:C62"/>
    <mergeCell ref="A59:A60"/>
    <mergeCell ref="D59:D60"/>
    <mergeCell ref="C59:C60"/>
    <mergeCell ref="A113:A114"/>
    <mergeCell ref="J114:M114"/>
    <mergeCell ref="A111:A112"/>
    <mergeCell ref="D111:D112"/>
    <mergeCell ref="C111:C112"/>
    <mergeCell ref="J112:M112"/>
    <mergeCell ref="D113:D114"/>
    <mergeCell ref="C113:C114"/>
    <mergeCell ref="F113:F114"/>
    <mergeCell ref="F111:F112"/>
    <mergeCell ref="D65:D66"/>
    <mergeCell ref="C65:C66"/>
    <mergeCell ref="A63:A64"/>
    <mergeCell ref="D63:D64"/>
    <mergeCell ref="C63:C64"/>
    <mergeCell ref="A109:A110"/>
    <mergeCell ref="D109:D110"/>
    <mergeCell ref="C109:C110"/>
    <mergeCell ref="C71:C72"/>
    <mergeCell ref="A73:A74"/>
    <mergeCell ref="F109:F110"/>
    <mergeCell ref="A65:A66"/>
    <mergeCell ref="A69:A70"/>
    <mergeCell ref="D69:D70"/>
    <mergeCell ref="C69:C70"/>
    <mergeCell ref="A67:A68"/>
    <mergeCell ref="D67:D68"/>
    <mergeCell ref="F75:F76"/>
    <mergeCell ref="A71:A72"/>
    <mergeCell ref="D71:D72"/>
    <mergeCell ref="F71:F72"/>
    <mergeCell ref="D73:D74"/>
    <mergeCell ref="C73:C74"/>
    <mergeCell ref="J72:M72"/>
    <mergeCell ref="D107:D108"/>
    <mergeCell ref="J76:M76"/>
    <mergeCell ref="J80:M80"/>
    <mergeCell ref="F81:F82"/>
    <mergeCell ref="J82:M82"/>
    <mergeCell ref="C81:C82"/>
    <mergeCell ref="A77:A78"/>
    <mergeCell ref="D77:D78"/>
    <mergeCell ref="C77:C78"/>
    <mergeCell ref="J78:M78"/>
    <mergeCell ref="F77:F78"/>
    <mergeCell ref="A75:A76"/>
    <mergeCell ref="D75:D76"/>
    <mergeCell ref="C75:C76"/>
    <mergeCell ref="A107:A108"/>
    <mergeCell ref="A79:A80"/>
    <mergeCell ref="D79:D80"/>
    <mergeCell ref="C79:C80"/>
    <mergeCell ref="A81:A82"/>
    <mergeCell ref="A85:A86"/>
    <mergeCell ref="D85:D86"/>
    <mergeCell ref="A87:A88"/>
    <mergeCell ref="D87:D88"/>
    <mergeCell ref="C87:C88"/>
    <mergeCell ref="F79:F80"/>
    <mergeCell ref="D81:D82"/>
    <mergeCell ref="F87:F88"/>
    <mergeCell ref="F93:F94"/>
    <mergeCell ref="J94:M94"/>
    <mergeCell ref="J96:M96"/>
    <mergeCell ref="J92:M92"/>
    <mergeCell ref="J88:M88"/>
    <mergeCell ref="F89:F90"/>
    <mergeCell ref="J90:M90"/>
    <mergeCell ref="J98:M98"/>
    <mergeCell ref="F97:F98"/>
    <mergeCell ref="A83:A84"/>
    <mergeCell ref="J84:M84"/>
    <mergeCell ref="F85:F86"/>
    <mergeCell ref="F83:F84"/>
    <mergeCell ref="C85:C86"/>
    <mergeCell ref="D83:D84"/>
    <mergeCell ref="C83:C84"/>
    <mergeCell ref="D91:D92"/>
    <mergeCell ref="C91:C92"/>
    <mergeCell ref="D89:D90"/>
    <mergeCell ref="C89:C90"/>
    <mergeCell ref="P89:R90"/>
    <mergeCell ref="P91:R92"/>
    <mergeCell ref="O89:O90"/>
    <mergeCell ref="F91:F92"/>
    <mergeCell ref="A95:A96"/>
    <mergeCell ref="D95:D96"/>
    <mergeCell ref="C95:C96"/>
    <mergeCell ref="F95:F96"/>
    <mergeCell ref="J86:M86"/>
    <mergeCell ref="A89:A90"/>
    <mergeCell ref="A93:A94"/>
    <mergeCell ref="D93:D94"/>
    <mergeCell ref="C93:C94"/>
    <mergeCell ref="A91:A92"/>
    <mergeCell ref="A97:A98"/>
    <mergeCell ref="A101:A102"/>
    <mergeCell ref="D101:D102"/>
    <mergeCell ref="C101:C102"/>
    <mergeCell ref="A99:A100"/>
    <mergeCell ref="D99:D100"/>
    <mergeCell ref="C99:C100"/>
    <mergeCell ref="D97:D98"/>
    <mergeCell ref="C97:C98"/>
    <mergeCell ref="F107:F108"/>
    <mergeCell ref="J104:M104"/>
    <mergeCell ref="F99:F100"/>
    <mergeCell ref="A103:A104"/>
    <mergeCell ref="D103:D104"/>
    <mergeCell ref="C103:C104"/>
    <mergeCell ref="F103:F104"/>
    <mergeCell ref="J100:M100"/>
    <mergeCell ref="F101:F102"/>
    <mergeCell ref="J102:M102"/>
    <mergeCell ref="J118:M118"/>
    <mergeCell ref="J106:M106"/>
    <mergeCell ref="A115:A116"/>
    <mergeCell ref="D115:D116"/>
    <mergeCell ref="C115:C116"/>
    <mergeCell ref="F115:F116"/>
    <mergeCell ref="D105:D106"/>
    <mergeCell ref="C105:C106"/>
    <mergeCell ref="F105:F106"/>
    <mergeCell ref="C107:C108"/>
    <mergeCell ref="A119:A120"/>
    <mergeCell ref="D119:D120"/>
    <mergeCell ref="C119:C120"/>
    <mergeCell ref="F119:F120"/>
    <mergeCell ref="J116:M116"/>
    <mergeCell ref="A105:A106"/>
    <mergeCell ref="A117:A118"/>
    <mergeCell ref="D117:D118"/>
    <mergeCell ref="C117:C118"/>
    <mergeCell ref="F117:F118"/>
    <mergeCell ref="D123:D124"/>
    <mergeCell ref="C123:C124"/>
    <mergeCell ref="F123:F124"/>
    <mergeCell ref="D121:D122"/>
    <mergeCell ref="C121:C122"/>
    <mergeCell ref="J120:M120"/>
    <mergeCell ref="F121:F122"/>
    <mergeCell ref="J122:M122"/>
    <mergeCell ref="A127:A128"/>
    <mergeCell ref="D127:D128"/>
    <mergeCell ref="C127:C128"/>
    <mergeCell ref="F127:F128"/>
    <mergeCell ref="J124:M124"/>
    <mergeCell ref="A121:A122"/>
    <mergeCell ref="A125:A126"/>
    <mergeCell ref="D125:D126"/>
    <mergeCell ref="C125:C126"/>
    <mergeCell ref="A123:A124"/>
    <mergeCell ref="D129:D130"/>
    <mergeCell ref="C129:C130"/>
    <mergeCell ref="F125:F126"/>
    <mergeCell ref="J126:M126"/>
    <mergeCell ref="J128:M128"/>
    <mergeCell ref="F129:F130"/>
    <mergeCell ref="J130:M130"/>
    <mergeCell ref="J132:M132"/>
    <mergeCell ref="A129:A130"/>
    <mergeCell ref="A133:A134"/>
    <mergeCell ref="D133:D134"/>
    <mergeCell ref="C133:C134"/>
    <mergeCell ref="F133:F134"/>
    <mergeCell ref="A131:A132"/>
    <mergeCell ref="D131:D132"/>
    <mergeCell ref="C131:C132"/>
    <mergeCell ref="F131:F132"/>
    <mergeCell ref="J134:M134"/>
    <mergeCell ref="J136:M136"/>
    <mergeCell ref="A135:A136"/>
    <mergeCell ref="D135:D136"/>
    <mergeCell ref="C135:C136"/>
    <mergeCell ref="F135:F136"/>
    <mergeCell ref="J142:M142"/>
    <mergeCell ref="J138:M138"/>
    <mergeCell ref="A139:A140"/>
    <mergeCell ref="D139:D140"/>
    <mergeCell ref="C139:C140"/>
    <mergeCell ref="F139:F140"/>
    <mergeCell ref="D137:D138"/>
    <mergeCell ref="C137:C138"/>
    <mergeCell ref="F137:F138"/>
    <mergeCell ref="A143:A144"/>
    <mergeCell ref="D143:D144"/>
    <mergeCell ref="C143:C144"/>
    <mergeCell ref="F143:F144"/>
    <mergeCell ref="J140:M140"/>
    <mergeCell ref="A137:A138"/>
    <mergeCell ref="A141:A142"/>
    <mergeCell ref="D141:D142"/>
    <mergeCell ref="C141:C142"/>
    <mergeCell ref="F141:F142"/>
    <mergeCell ref="D147:D148"/>
    <mergeCell ref="C147:C148"/>
    <mergeCell ref="F147:F148"/>
    <mergeCell ref="D145:D146"/>
    <mergeCell ref="C145:C146"/>
    <mergeCell ref="J144:M144"/>
    <mergeCell ref="F145:F146"/>
    <mergeCell ref="J146:M146"/>
    <mergeCell ref="A151:A152"/>
    <mergeCell ref="D151:D152"/>
    <mergeCell ref="C151:C152"/>
    <mergeCell ref="F151:F152"/>
    <mergeCell ref="J148:M148"/>
    <mergeCell ref="A145:A146"/>
    <mergeCell ref="A149:A150"/>
    <mergeCell ref="D149:D150"/>
    <mergeCell ref="C149:C150"/>
    <mergeCell ref="A147:A148"/>
    <mergeCell ref="F149:F150"/>
    <mergeCell ref="J150:M150"/>
    <mergeCell ref="J152:M152"/>
    <mergeCell ref="D153:D154"/>
    <mergeCell ref="C153:C154"/>
    <mergeCell ref="F153:F154"/>
    <mergeCell ref="J154:M154"/>
    <mergeCell ref="C155:C156"/>
    <mergeCell ref="F155:F156"/>
    <mergeCell ref="F159:F160"/>
    <mergeCell ref="F157:F158"/>
    <mergeCell ref="J156:M156"/>
    <mergeCell ref="J158:M158"/>
    <mergeCell ref="A153:A154"/>
    <mergeCell ref="J160:M160"/>
    <mergeCell ref="A157:A158"/>
    <mergeCell ref="D157:D158"/>
    <mergeCell ref="C157:C158"/>
    <mergeCell ref="A159:A160"/>
    <mergeCell ref="D159:D160"/>
    <mergeCell ref="C159:C160"/>
    <mergeCell ref="A155:A156"/>
    <mergeCell ref="D155:D156"/>
    <mergeCell ref="O167:O168"/>
    <mergeCell ref="O165:O166"/>
    <mergeCell ref="A161:A162"/>
    <mergeCell ref="D161:D162"/>
    <mergeCell ref="C161:C162"/>
    <mergeCell ref="A163:A164"/>
    <mergeCell ref="D163:D164"/>
    <mergeCell ref="C163:C164"/>
    <mergeCell ref="O163:O164"/>
    <mergeCell ref="O161:O162"/>
    <mergeCell ref="F161:F162"/>
    <mergeCell ref="J162:M162"/>
    <mergeCell ref="J168:M168"/>
    <mergeCell ref="F167:F168"/>
    <mergeCell ref="F165:F166"/>
    <mergeCell ref="J166:M166"/>
    <mergeCell ref="J164:M164"/>
    <mergeCell ref="F163:F164"/>
    <mergeCell ref="A165:A166"/>
    <mergeCell ref="D165:D166"/>
    <mergeCell ref="C165:C166"/>
    <mergeCell ref="A167:A168"/>
    <mergeCell ref="D167:D168"/>
    <mergeCell ref="C167:C168"/>
    <mergeCell ref="J172:M172"/>
    <mergeCell ref="A169:A170"/>
    <mergeCell ref="D169:D170"/>
    <mergeCell ref="C169:C170"/>
    <mergeCell ref="A171:A172"/>
    <mergeCell ref="D171:D172"/>
    <mergeCell ref="C171:C172"/>
    <mergeCell ref="F171:F172"/>
    <mergeCell ref="F169:F170"/>
    <mergeCell ref="J170:M170"/>
    <mergeCell ref="A173:A174"/>
    <mergeCell ref="D173:D174"/>
    <mergeCell ref="C173:C174"/>
    <mergeCell ref="A175:A176"/>
    <mergeCell ref="D175:D176"/>
    <mergeCell ref="C175:C176"/>
    <mergeCell ref="F173:F174"/>
    <mergeCell ref="J174:M174"/>
    <mergeCell ref="J180:M180"/>
    <mergeCell ref="F179:F180"/>
    <mergeCell ref="F177:F178"/>
    <mergeCell ref="J178:M178"/>
    <mergeCell ref="J176:M176"/>
    <mergeCell ref="F175:F176"/>
    <mergeCell ref="A177:A178"/>
    <mergeCell ref="D177:D178"/>
    <mergeCell ref="C177:C178"/>
    <mergeCell ref="A179:A180"/>
    <mergeCell ref="D179:D180"/>
    <mergeCell ref="C179:C180"/>
    <mergeCell ref="J184:M184"/>
    <mergeCell ref="A181:A182"/>
    <mergeCell ref="D181:D182"/>
    <mergeCell ref="C181:C182"/>
    <mergeCell ref="A183:A184"/>
    <mergeCell ref="D183:D184"/>
    <mergeCell ref="C183:C184"/>
    <mergeCell ref="F183:F184"/>
    <mergeCell ref="F181:F182"/>
    <mergeCell ref="J182:M182"/>
    <mergeCell ref="O191:O192"/>
    <mergeCell ref="O189:O190"/>
    <mergeCell ref="A185:A186"/>
    <mergeCell ref="D185:D186"/>
    <mergeCell ref="C185:C186"/>
    <mergeCell ref="A187:A188"/>
    <mergeCell ref="D187:D188"/>
    <mergeCell ref="C187:C188"/>
    <mergeCell ref="F185:F186"/>
    <mergeCell ref="J186:M186"/>
    <mergeCell ref="J188:M188"/>
    <mergeCell ref="F187:F188"/>
    <mergeCell ref="F195:F196"/>
    <mergeCell ref="F193:F194"/>
    <mergeCell ref="J194:M194"/>
    <mergeCell ref="J192:M192"/>
    <mergeCell ref="F191:F192"/>
    <mergeCell ref="F189:F190"/>
    <mergeCell ref="J190:M190"/>
    <mergeCell ref="A189:A190"/>
    <mergeCell ref="D189:D190"/>
    <mergeCell ref="C189:C190"/>
    <mergeCell ref="A191:A192"/>
    <mergeCell ref="D191:D192"/>
    <mergeCell ref="C191:C192"/>
    <mergeCell ref="A193:A194"/>
    <mergeCell ref="D193:D194"/>
    <mergeCell ref="C193:C194"/>
    <mergeCell ref="A195:A196"/>
    <mergeCell ref="D195:D196"/>
    <mergeCell ref="C195:C196"/>
    <mergeCell ref="A197:A198"/>
    <mergeCell ref="D197:D198"/>
    <mergeCell ref="C197:C198"/>
    <mergeCell ref="A199:A200"/>
    <mergeCell ref="D199:D200"/>
    <mergeCell ref="C199:C200"/>
    <mergeCell ref="A201:A202"/>
    <mergeCell ref="D201:D202"/>
    <mergeCell ref="C201:C202"/>
    <mergeCell ref="A203:A204"/>
    <mergeCell ref="D203:D204"/>
    <mergeCell ref="C203:C204"/>
    <mergeCell ref="L1:R1"/>
    <mergeCell ref="F201:F202"/>
    <mergeCell ref="J202:M202"/>
    <mergeCell ref="J204:M204"/>
    <mergeCell ref="F203:F204"/>
    <mergeCell ref="J200:M200"/>
    <mergeCell ref="F199:F200"/>
    <mergeCell ref="F197:F198"/>
    <mergeCell ref="J198:M198"/>
    <mergeCell ref="J196:M196"/>
  </mergeCells>
  <printOptions/>
  <pageMargins left="0.31" right="0.24" top="0.2" bottom="0.2" header="0.2" footer="0.2"/>
  <pageSetup horizontalDpi="600" verticalDpi="600" orientation="landscape" paperSize="9" r:id="rId3"/>
  <rowBreaks count="9" manualBreakCount="9">
    <brk id="24" max="16" man="1"/>
    <brk id="44" max="16" man="1"/>
    <brk id="64" max="255" man="1"/>
    <brk id="84" max="16" man="1"/>
    <brk id="104" max="16" man="1"/>
    <brk id="124" max="255" man="1"/>
    <brk id="144" max="16" man="1"/>
    <brk id="164" max="16" man="1"/>
    <brk id="184" max="255" man="1"/>
  </rowBreaks>
  <legacyDrawing r:id="rId2"/>
</worksheet>
</file>

<file path=xl/worksheets/sheet4.xml><?xml version="1.0" encoding="utf-8"?>
<worksheet xmlns="http://schemas.openxmlformats.org/spreadsheetml/2006/main" xmlns:r="http://schemas.openxmlformats.org/officeDocument/2006/relationships">
  <dimension ref="A1:BM76"/>
  <sheetViews>
    <sheetView zoomScalePageLayoutView="0" workbookViewId="0" topLeftCell="A1">
      <selection activeCell="R67" sqref="R67:U69"/>
    </sheetView>
  </sheetViews>
  <sheetFormatPr defaultColWidth="9.00390625" defaultRowHeight="13.5"/>
  <cols>
    <col min="1" max="63" width="1.625" style="3" customWidth="1"/>
    <col min="64" max="16384" width="9.00390625" style="3" customWidth="1"/>
  </cols>
  <sheetData>
    <row r="1" spans="46:60" ht="9" customHeight="1">
      <c r="AT1" s="493">
        <f ca="1">TODAY()</f>
        <v>45382</v>
      </c>
      <c r="AU1" s="493"/>
      <c r="AV1" s="493"/>
      <c r="AW1" s="493"/>
      <c r="AX1" s="493"/>
      <c r="AY1" s="493"/>
      <c r="AZ1" s="493"/>
      <c r="BA1" s="493"/>
      <c r="BB1" s="493"/>
      <c r="BC1" s="493"/>
      <c r="BD1" s="493"/>
      <c r="BE1" s="493"/>
      <c r="BF1" s="493"/>
      <c r="BG1" s="493"/>
      <c r="BH1" s="493"/>
    </row>
    <row r="2" spans="1:60" ht="9" customHeight="1">
      <c r="A2" s="492" t="s">
        <v>22</v>
      </c>
      <c r="B2" s="492"/>
      <c r="C2" s="492"/>
      <c r="D2" s="492"/>
      <c r="E2" s="492"/>
      <c r="F2" s="492"/>
      <c r="G2" s="492"/>
      <c r="H2" s="492"/>
      <c r="I2" s="492"/>
      <c r="J2" s="492"/>
      <c r="K2" s="492"/>
      <c r="L2" s="492"/>
      <c r="M2" s="492"/>
      <c r="N2" s="492"/>
      <c r="AT2" s="493"/>
      <c r="AU2" s="493"/>
      <c r="AV2" s="493"/>
      <c r="AW2" s="493"/>
      <c r="AX2" s="493"/>
      <c r="AY2" s="493"/>
      <c r="AZ2" s="493"/>
      <c r="BA2" s="493"/>
      <c r="BB2" s="493"/>
      <c r="BC2" s="493"/>
      <c r="BD2" s="493"/>
      <c r="BE2" s="493"/>
      <c r="BF2" s="493"/>
      <c r="BG2" s="493"/>
      <c r="BH2" s="493"/>
    </row>
    <row r="3" spans="1:14" ht="9" customHeight="1">
      <c r="A3" s="492"/>
      <c r="B3" s="492"/>
      <c r="C3" s="492"/>
      <c r="D3" s="492"/>
      <c r="E3" s="492"/>
      <c r="F3" s="492"/>
      <c r="G3" s="492"/>
      <c r="H3" s="492"/>
      <c r="I3" s="492"/>
      <c r="J3" s="492"/>
      <c r="K3" s="492"/>
      <c r="L3" s="492"/>
      <c r="M3" s="492"/>
      <c r="N3" s="492"/>
    </row>
    <row r="4" spans="1:54" ht="9" customHeight="1">
      <c r="A4" s="4"/>
      <c r="AI4" s="358" t="s">
        <v>21</v>
      </c>
      <c r="AJ4" s="358"/>
      <c r="AK4" s="358"/>
      <c r="AL4" s="358"/>
      <c r="AM4" s="358"/>
      <c r="AN4" s="351" t="str">
        <f>INDEX('奉仕団基礎データ（要入力）'!A15:B15,2)</f>
        <v>研修部主事</v>
      </c>
      <c r="AO4" s="351"/>
      <c r="AP4" s="351"/>
      <c r="AQ4" s="351"/>
      <c r="AR4" s="351"/>
      <c r="AS4" s="351"/>
      <c r="AT4" s="351"/>
      <c r="AU4" s="351"/>
      <c r="AV4" s="351"/>
      <c r="AW4" s="351"/>
      <c r="AX4" s="351"/>
      <c r="AY4" s="351"/>
      <c r="AZ4" s="351"/>
      <c r="BA4" s="351"/>
      <c r="BB4" s="351"/>
    </row>
    <row r="5" spans="1:60" ht="9" customHeight="1">
      <c r="A5" s="520" t="s">
        <v>139</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4"/>
      <c r="AI5" s="360"/>
      <c r="AJ5" s="360"/>
      <c r="AK5" s="360"/>
      <c r="AL5" s="360"/>
      <c r="AM5" s="360"/>
      <c r="AN5" s="352"/>
      <c r="AO5" s="352"/>
      <c r="AP5" s="352"/>
      <c r="AQ5" s="352"/>
      <c r="AR5" s="352"/>
      <c r="AS5" s="352"/>
      <c r="AT5" s="352"/>
      <c r="AU5" s="352"/>
      <c r="AV5" s="352"/>
      <c r="AW5" s="352"/>
      <c r="AX5" s="352"/>
      <c r="AY5" s="352"/>
      <c r="AZ5" s="352"/>
      <c r="BA5" s="352"/>
      <c r="BB5" s="352"/>
      <c r="BC5" s="4"/>
      <c r="BD5" s="4"/>
      <c r="BE5" s="4"/>
      <c r="BF5" s="4"/>
      <c r="BG5" s="4"/>
      <c r="BH5" s="4"/>
    </row>
    <row r="6" spans="1:41" s="4" customFormat="1" ht="9" customHeight="1">
      <c r="A6" s="520"/>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I6" s="519" t="s">
        <v>195</v>
      </c>
      <c r="AJ6" s="508"/>
      <c r="AK6" s="508"/>
      <c r="AL6" s="508"/>
      <c r="AM6" s="508"/>
      <c r="AN6" s="508"/>
      <c r="AO6" s="508"/>
    </row>
    <row r="7" spans="1:60" s="4" customFormat="1" ht="9" customHeight="1">
      <c r="A7" s="520"/>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I7" s="358"/>
      <c r="AJ7" s="358"/>
      <c r="AK7" s="358"/>
      <c r="AL7" s="358"/>
      <c r="AM7" s="358"/>
      <c r="AN7" s="358"/>
      <c r="AO7" s="358"/>
      <c r="AP7" s="351" t="str">
        <f>INDEX('奉仕団基礎データ（要入力）'!A15:B15,1)</f>
        <v>山本　真宗</v>
      </c>
      <c r="AQ7" s="351"/>
      <c r="AR7" s="351"/>
      <c r="AS7" s="351"/>
      <c r="AT7" s="351"/>
      <c r="AU7" s="351"/>
      <c r="AV7" s="351"/>
      <c r="AW7" s="351"/>
      <c r="AX7" s="351"/>
      <c r="AY7" s="351"/>
      <c r="AZ7" s="351"/>
      <c r="BA7" s="351"/>
      <c r="BB7" s="351"/>
      <c r="BC7" s="351"/>
      <c r="BD7" s="351"/>
      <c r="BE7" s="351"/>
      <c r="BF7" s="351"/>
      <c r="BG7" s="468" t="s">
        <v>110</v>
      </c>
      <c r="BH7" s="468"/>
    </row>
    <row r="8" spans="1:60" s="4" customFormat="1" ht="9" customHeight="1">
      <c r="A8" s="520"/>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I8" s="360"/>
      <c r="AJ8" s="360"/>
      <c r="AK8" s="360"/>
      <c r="AL8" s="360"/>
      <c r="AM8" s="360"/>
      <c r="AN8" s="360"/>
      <c r="AO8" s="360"/>
      <c r="AP8" s="352"/>
      <c r="AQ8" s="352"/>
      <c r="AR8" s="352"/>
      <c r="AS8" s="352"/>
      <c r="AT8" s="352"/>
      <c r="AU8" s="352"/>
      <c r="AV8" s="352"/>
      <c r="AW8" s="352"/>
      <c r="AX8" s="352"/>
      <c r="AY8" s="352"/>
      <c r="AZ8" s="352"/>
      <c r="BA8" s="352"/>
      <c r="BB8" s="352"/>
      <c r="BC8" s="352"/>
      <c r="BD8" s="352"/>
      <c r="BE8" s="352"/>
      <c r="BF8" s="352"/>
      <c r="BG8" s="469"/>
      <c r="BH8" s="469"/>
    </row>
    <row r="9" s="4" customFormat="1" ht="6" customHeight="1" thickBot="1"/>
    <row r="10" spans="1:60" s="4" customFormat="1" ht="12.75" customHeight="1">
      <c r="A10" s="509" t="s">
        <v>23</v>
      </c>
      <c r="B10" s="510"/>
      <c r="C10" s="510"/>
      <c r="D10" s="510"/>
      <c r="E10" s="510"/>
      <c r="F10" s="510"/>
      <c r="G10" s="510"/>
      <c r="H10" s="511"/>
      <c r="I10" s="495" t="str">
        <f>IF(INDEX('奉仕団基礎データ（要入力）'!A7,1)="","",INDEX('奉仕団基礎データ（要入力）'!A7,1))</f>
        <v>●●</v>
      </c>
      <c r="J10" s="350"/>
      <c r="K10" s="350"/>
      <c r="L10" s="350"/>
      <c r="M10" s="350"/>
      <c r="N10" s="350"/>
      <c r="O10" s="494" t="s">
        <v>4</v>
      </c>
      <c r="P10" s="494"/>
      <c r="Q10" s="494"/>
      <c r="R10" s="350" t="str">
        <f>IF(INDEX('奉仕団基礎データ（要入力）'!B7,1)="","",INDEX('奉仕団基礎データ（要入力）'!B7,1))</f>
        <v>●●</v>
      </c>
      <c r="S10" s="350"/>
      <c r="T10" s="350"/>
      <c r="U10" s="350"/>
      <c r="V10" s="350"/>
      <c r="W10" s="350"/>
      <c r="X10" s="494" t="s">
        <v>14</v>
      </c>
      <c r="Y10" s="494"/>
      <c r="Z10" s="494"/>
      <c r="AA10" s="350" t="str">
        <f>INDEX('奉仕団基礎データ（要入力）'!C7:D7,1)</f>
        <v>●●寺</v>
      </c>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45" t="s">
        <v>124</v>
      </c>
      <c r="BA10" s="346"/>
      <c r="BB10" s="346"/>
      <c r="BC10" s="346"/>
      <c r="BD10" s="346"/>
      <c r="BE10" s="346"/>
      <c r="BF10" s="346"/>
      <c r="BG10" s="346"/>
      <c r="BH10" s="347"/>
    </row>
    <row r="11" spans="1:60" s="4" customFormat="1" ht="12.75" customHeight="1">
      <c r="A11" s="388"/>
      <c r="B11" s="389"/>
      <c r="C11" s="389"/>
      <c r="D11" s="389"/>
      <c r="E11" s="389"/>
      <c r="F11" s="389"/>
      <c r="G11" s="389"/>
      <c r="H11" s="390"/>
      <c r="I11" s="480"/>
      <c r="J11" s="351"/>
      <c r="K11" s="351"/>
      <c r="L11" s="351"/>
      <c r="M11" s="351"/>
      <c r="N11" s="351"/>
      <c r="O11" s="358"/>
      <c r="P11" s="358"/>
      <c r="Q11" s="358"/>
      <c r="R11" s="351"/>
      <c r="S11" s="351"/>
      <c r="T11" s="351"/>
      <c r="U11" s="351"/>
      <c r="V11" s="351"/>
      <c r="W11" s="351"/>
      <c r="X11" s="358"/>
      <c r="Y11" s="358"/>
      <c r="Z11" s="358"/>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43"/>
      <c r="BA11" s="343"/>
      <c r="BB11" s="343"/>
      <c r="BC11" s="343"/>
      <c r="BD11" s="343"/>
      <c r="BE11" s="343"/>
      <c r="BF11" s="343"/>
      <c r="BG11" s="343"/>
      <c r="BH11" s="348"/>
    </row>
    <row r="12" spans="1:60" s="4" customFormat="1" ht="12.75" customHeight="1">
      <c r="A12" s="388"/>
      <c r="B12" s="389"/>
      <c r="C12" s="389"/>
      <c r="D12" s="389"/>
      <c r="E12" s="389"/>
      <c r="F12" s="389"/>
      <c r="G12" s="389"/>
      <c r="H12" s="390"/>
      <c r="I12" s="480"/>
      <c r="J12" s="351"/>
      <c r="K12" s="351"/>
      <c r="L12" s="351"/>
      <c r="M12" s="351"/>
      <c r="N12" s="351"/>
      <c r="O12" s="358"/>
      <c r="P12" s="358"/>
      <c r="Q12" s="358"/>
      <c r="R12" s="351"/>
      <c r="S12" s="351"/>
      <c r="T12" s="351"/>
      <c r="U12" s="351"/>
      <c r="V12" s="351"/>
      <c r="W12" s="351"/>
      <c r="X12" s="358"/>
      <c r="Y12" s="358"/>
      <c r="Z12" s="358"/>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43"/>
      <c r="BA12" s="343"/>
      <c r="BB12" s="343"/>
      <c r="BC12" s="343"/>
      <c r="BD12" s="343"/>
      <c r="BE12" s="343"/>
      <c r="BF12" s="343"/>
      <c r="BG12" s="343"/>
      <c r="BH12" s="348"/>
    </row>
    <row r="13" spans="1:60" s="4" customFormat="1" ht="12.75" customHeight="1">
      <c r="A13" s="395"/>
      <c r="B13" s="396"/>
      <c r="C13" s="396"/>
      <c r="D13" s="396"/>
      <c r="E13" s="396"/>
      <c r="F13" s="396"/>
      <c r="G13" s="396"/>
      <c r="H13" s="397"/>
      <c r="I13" s="481"/>
      <c r="J13" s="352"/>
      <c r="K13" s="352"/>
      <c r="L13" s="352"/>
      <c r="M13" s="352"/>
      <c r="N13" s="352"/>
      <c r="O13" s="360"/>
      <c r="P13" s="360"/>
      <c r="Q13" s="360"/>
      <c r="R13" s="352"/>
      <c r="S13" s="352"/>
      <c r="T13" s="352"/>
      <c r="U13" s="352"/>
      <c r="V13" s="352"/>
      <c r="W13" s="352"/>
      <c r="X13" s="360"/>
      <c r="Y13" s="360"/>
      <c r="Z13" s="360"/>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44"/>
      <c r="BA13" s="344"/>
      <c r="BB13" s="344"/>
      <c r="BC13" s="344"/>
      <c r="BD13" s="344"/>
      <c r="BE13" s="344"/>
      <c r="BF13" s="344"/>
      <c r="BG13" s="344"/>
      <c r="BH13" s="349"/>
    </row>
    <row r="14" spans="1:60" s="4" customFormat="1" ht="12.75" customHeight="1">
      <c r="A14" s="385" t="s">
        <v>24</v>
      </c>
      <c r="B14" s="386"/>
      <c r="C14" s="386"/>
      <c r="D14" s="386"/>
      <c r="E14" s="386"/>
      <c r="F14" s="386"/>
      <c r="G14" s="386"/>
      <c r="H14" s="387"/>
      <c r="I14" s="521">
        <f>INDEX('奉仕団基礎データ（要入力）'!$A$2:$A$4,3,1)</f>
        <v>45498</v>
      </c>
      <c r="J14" s="522"/>
      <c r="K14" s="522"/>
      <c r="L14" s="522"/>
      <c r="M14" s="522"/>
      <c r="N14" s="522"/>
      <c r="O14" s="522"/>
      <c r="P14" s="522"/>
      <c r="Q14" s="522"/>
      <c r="R14" s="522"/>
      <c r="S14" s="522"/>
      <c r="T14" s="522"/>
      <c r="U14" s="522"/>
      <c r="V14" s="522"/>
      <c r="W14" s="522"/>
      <c r="X14" s="522"/>
      <c r="Y14" s="522"/>
      <c r="Z14" s="522"/>
      <c r="AA14" s="522"/>
      <c r="AB14" s="421" t="s">
        <v>132</v>
      </c>
      <c r="AC14" s="421"/>
      <c r="AD14" s="421"/>
      <c r="AE14" s="421"/>
      <c r="AF14" s="527" t="s">
        <v>70</v>
      </c>
      <c r="AG14" s="528"/>
      <c r="AH14" s="528"/>
      <c r="AI14" s="517">
        <f>INDEX('奉仕団基礎データ（要入力）'!$B$2:$B$4,3,1)</f>
        <v>45499</v>
      </c>
      <c r="AJ14" s="517"/>
      <c r="AK14" s="517"/>
      <c r="AL14" s="517"/>
      <c r="AM14" s="517"/>
      <c r="AN14" s="517"/>
      <c r="AO14" s="517"/>
      <c r="AP14" s="517"/>
      <c r="AQ14" s="517"/>
      <c r="AR14" s="517"/>
      <c r="AS14" s="517"/>
      <c r="AT14" s="517"/>
      <c r="AU14" s="517"/>
      <c r="AV14" s="356" t="s">
        <v>132</v>
      </c>
      <c r="AW14" s="356"/>
      <c r="AX14" s="356"/>
      <c r="AY14" s="356"/>
      <c r="AZ14" s="513" t="s">
        <v>133</v>
      </c>
      <c r="BA14" s="513"/>
      <c r="BB14" s="499" t="str">
        <f>IF('奉仕団基礎データ（要入力）'!E4=2,"２泊３日","１泊２日")</f>
        <v>１泊２日</v>
      </c>
      <c r="BC14" s="499"/>
      <c r="BD14" s="499"/>
      <c r="BE14" s="499"/>
      <c r="BF14" s="499"/>
      <c r="BG14" s="499"/>
      <c r="BH14" s="500"/>
    </row>
    <row r="15" spans="1:60" s="4" customFormat="1" ht="12.75" customHeight="1">
      <c r="A15" s="388"/>
      <c r="B15" s="389"/>
      <c r="C15" s="389"/>
      <c r="D15" s="389"/>
      <c r="E15" s="389"/>
      <c r="F15" s="389"/>
      <c r="G15" s="389"/>
      <c r="H15" s="390"/>
      <c r="I15" s="523"/>
      <c r="J15" s="524"/>
      <c r="K15" s="524"/>
      <c r="L15" s="524"/>
      <c r="M15" s="524"/>
      <c r="N15" s="524"/>
      <c r="O15" s="524"/>
      <c r="P15" s="524"/>
      <c r="Q15" s="524"/>
      <c r="R15" s="524"/>
      <c r="S15" s="524"/>
      <c r="T15" s="524"/>
      <c r="U15" s="524"/>
      <c r="V15" s="524"/>
      <c r="W15" s="524"/>
      <c r="X15" s="524"/>
      <c r="Y15" s="524"/>
      <c r="Z15" s="524"/>
      <c r="AA15" s="524"/>
      <c r="AB15" s="422"/>
      <c r="AC15" s="422"/>
      <c r="AD15" s="422"/>
      <c r="AE15" s="422"/>
      <c r="AF15" s="529"/>
      <c r="AG15" s="529"/>
      <c r="AH15" s="529"/>
      <c r="AI15" s="518"/>
      <c r="AJ15" s="518"/>
      <c r="AK15" s="518"/>
      <c r="AL15" s="518"/>
      <c r="AM15" s="518"/>
      <c r="AN15" s="518"/>
      <c r="AO15" s="518"/>
      <c r="AP15" s="518"/>
      <c r="AQ15" s="518"/>
      <c r="AR15" s="518"/>
      <c r="AS15" s="518"/>
      <c r="AT15" s="518"/>
      <c r="AU15" s="518"/>
      <c r="AV15" s="357"/>
      <c r="AW15" s="357"/>
      <c r="AX15" s="357"/>
      <c r="AY15" s="357"/>
      <c r="AZ15" s="514"/>
      <c r="BA15" s="514"/>
      <c r="BB15" s="501"/>
      <c r="BC15" s="501"/>
      <c r="BD15" s="501"/>
      <c r="BE15" s="501"/>
      <c r="BF15" s="501"/>
      <c r="BG15" s="501"/>
      <c r="BH15" s="502"/>
    </row>
    <row r="16" spans="1:60" s="4" customFormat="1" ht="12.75" customHeight="1">
      <c r="A16" s="388"/>
      <c r="B16" s="389"/>
      <c r="C16" s="389"/>
      <c r="D16" s="389"/>
      <c r="E16" s="389"/>
      <c r="F16" s="389"/>
      <c r="G16" s="389"/>
      <c r="H16" s="390"/>
      <c r="I16" s="523"/>
      <c r="J16" s="524"/>
      <c r="K16" s="524"/>
      <c r="L16" s="524"/>
      <c r="M16" s="524"/>
      <c r="N16" s="524"/>
      <c r="O16" s="524"/>
      <c r="P16" s="524"/>
      <c r="Q16" s="524"/>
      <c r="R16" s="524"/>
      <c r="S16" s="524"/>
      <c r="T16" s="524"/>
      <c r="U16" s="524"/>
      <c r="V16" s="524"/>
      <c r="W16" s="524"/>
      <c r="X16" s="524"/>
      <c r="Y16" s="524"/>
      <c r="Z16" s="524"/>
      <c r="AA16" s="524"/>
      <c r="AB16" s="422"/>
      <c r="AC16" s="422"/>
      <c r="AD16" s="422"/>
      <c r="AE16" s="422"/>
      <c r="AF16" s="529"/>
      <c r="AG16" s="529"/>
      <c r="AH16" s="529"/>
      <c r="AI16" s="518"/>
      <c r="AJ16" s="518"/>
      <c r="AK16" s="518"/>
      <c r="AL16" s="518"/>
      <c r="AM16" s="518"/>
      <c r="AN16" s="518"/>
      <c r="AO16" s="518"/>
      <c r="AP16" s="518"/>
      <c r="AQ16" s="518"/>
      <c r="AR16" s="518"/>
      <c r="AS16" s="518"/>
      <c r="AT16" s="518"/>
      <c r="AU16" s="518"/>
      <c r="AV16" s="357"/>
      <c r="AW16" s="357"/>
      <c r="AX16" s="357"/>
      <c r="AY16" s="357"/>
      <c r="AZ16" s="514"/>
      <c r="BA16" s="514"/>
      <c r="BB16" s="501"/>
      <c r="BC16" s="501"/>
      <c r="BD16" s="501"/>
      <c r="BE16" s="501"/>
      <c r="BF16" s="501"/>
      <c r="BG16" s="501"/>
      <c r="BH16" s="502"/>
    </row>
    <row r="17" spans="1:60" s="4" customFormat="1" ht="12.75" customHeight="1">
      <c r="A17" s="388"/>
      <c r="B17" s="389"/>
      <c r="C17" s="389"/>
      <c r="D17" s="389"/>
      <c r="E17" s="389"/>
      <c r="F17" s="389"/>
      <c r="G17" s="389"/>
      <c r="H17" s="390"/>
      <c r="I17" s="525"/>
      <c r="J17" s="526"/>
      <c r="K17" s="526"/>
      <c r="L17" s="526"/>
      <c r="M17" s="526"/>
      <c r="N17" s="526"/>
      <c r="O17" s="526"/>
      <c r="P17" s="526"/>
      <c r="Q17" s="526"/>
      <c r="R17" s="526"/>
      <c r="S17" s="526"/>
      <c r="T17" s="526"/>
      <c r="U17" s="526"/>
      <c r="V17" s="526"/>
      <c r="W17" s="526"/>
      <c r="X17" s="526"/>
      <c r="Y17" s="526"/>
      <c r="Z17" s="526"/>
      <c r="AA17" s="526"/>
      <c r="AB17" s="422"/>
      <c r="AC17" s="422"/>
      <c r="AD17" s="422"/>
      <c r="AE17" s="422"/>
      <c r="AF17" s="529"/>
      <c r="AG17" s="529"/>
      <c r="AH17" s="529"/>
      <c r="AI17" s="518"/>
      <c r="AJ17" s="518"/>
      <c r="AK17" s="518"/>
      <c r="AL17" s="518"/>
      <c r="AM17" s="518"/>
      <c r="AN17" s="518"/>
      <c r="AO17" s="518"/>
      <c r="AP17" s="518"/>
      <c r="AQ17" s="518"/>
      <c r="AR17" s="518"/>
      <c r="AS17" s="518"/>
      <c r="AT17" s="518"/>
      <c r="AU17" s="518"/>
      <c r="AV17" s="357"/>
      <c r="AW17" s="357"/>
      <c r="AX17" s="357"/>
      <c r="AY17" s="357"/>
      <c r="AZ17" s="515"/>
      <c r="BA17" s="515"/>
      <c r="BB17" s="503"/>
      <c r="BC17" s="503"/>
      <c r="BD17" s="503"/>
      <c r="BE17" s="503"/>
      <c r="BF17" s="503"/>
      <c r="BG17" s="503"/>
      <c r="BH17" s="504"/>
    </row>
    <row r="18" spans="1:60" s="4" customFormat="1" ht="12.75" customHeight="1">
      <c r="A18" s="394" t="s">
        <v>25</v>
      </c>
      <c r="B18" s="386"/>
      <c r="C18" s="386"/>
      <c r="D18" s="386"/>
      <c r="E18" s="386"/>
      <c r="F18" s="386"/>
      <c r="G18" s="386"/>
      <c r="H18" s="387"/>
      <c r="I18" s="423" t="s">
        <v>188</v>
      </c>
      <c r="J18" s="424"/>
      <c r="K18" s="333" t="str">
        <f>'奉仕団基礎データ（要入力）'!J4&amp;"名"</f>
        <v>0名</v>
      </c>
      <c r="L18" s="333"/>
      <c r="M18" s="333"/>
      <c r="N18" s="334"/>
      <c r="O18" s="482" t="s">
        <v>125</v>
      </c>
      <c r="P18" s="483"/>
      <c r="Q18" s="484"/>
      <c r="R18" s="342" t="s">
        <v>126</v>
      </c>
      <c r="S18" s="342"/>
      <c r="T18" s="342"/>
      <c r="U18" s="333" t="str">
        <f>'奉仕団基礎データ（要入力）'!F4&amp;"名"</f>
        <v>0名</v>
      </c>
      <c r="V18" s="333"/>
      <c r="W18" s="333"/>
      <c r="X18" s="333"/>
      <c r="Y18" s="333"/>
      <c r="Z18" s="333"/>
      <c r="AA18" s="476"/>
      <c r="AB18" s="342" t="s">
        <v>127</v>
      </c>
      <c r="AC18" s="342"/>
      <c r="AD18" s="342"/>
      <c r="AE18" s="333" t="str">
        <f>'奉仕団基礎データ（要入力）'!G4&amp;"名"</f>
        <v>0名</v>
      </c>
      <c r="AF18" s="333"/>
      <c r="AG18" s="333"/>
      <c r="AH18" s="333"/>
      <c r="AI18" s="333"/>
      <c r="AJ18" s="333"/>
      <c r="AK18" s="334"/>
      <c r="AL18" s="516" t="s">
        <v>168</v>
      </c>
      <c r="AM18" s="483"/>
      <c r="AN18" s="484"/>
      <c r="AO18" s="342" t="s">
        <v>126</v>
      </c>
      <c r="AP18" s="342"/>
      <c r="AQ18" s="342"/>
      <c r="AR18" s="333" t="str">
        <f>'奉仕団基礎データ（要入力）'!H4&amp;"名"</f>
        <v>0名</v>
      </c>
      <c r="AS18" s="333"/>
      <c r="AT18" s="333"/>
      <c r="AU18" s="333"/>
      <c r="AV18" s="333"/>
      <c r="AW18" s="333"/>
      <c r="AX18" s="476"/>
      <c r="AY18" s="342" t="s">
        <v>127</v>
      </c>
      <c r="AZ18" s="342"/>
      <c r="BA18" s="342"/>
      <c r="BB18" s="333" t="str">
        <f>'奉仕団基礎データ（要入力）'!I4&amp;"名"</f>
        <v>0名</v>
      </c>
      <c r="BC18" s="333"/>
      <c r="BD18" s="333"/>
      <c r="BE18" s="333"/>
      <c r="BF18" s="333"/>
      <c r="BG18" s="333"/>
      <c r="BH18" s="353"/>
    </row>
    <row r="19" spans="1:60" s="4" customFormat="1" ht="12.75" customHeight="1">
      <c r="A19" s="388"/>
      <c r="B19" s="389"/>
      <c r="C19" s="389"/>
      <c r="D19" s="389"/>
      <c r="E19" s="389"/>
      <c r="F19" s="389"/>
      <c r="G19" s="389"/>
      <c r="H19" s="390"/>
      <c r="I19" s="425"/>
      <c r="J19" s="426"/>
      <c r="K19" s="351"/>
      <c r="L19" s="351"/>
      <c r="M19" s="351"/>
      <c r="N19" s="419"/>
      <c r="O19" s="485"/>
      <c r="P19" s="486"/>
      <c r="Q19" s="487"/>
      <c r="R19" s="343"/>
      <c r="S19" s="343"/>
      <c r="T19" s="343"/>
      <c r="U19" s="351"/>
      <c r="V19" s="351"/>
      <c r="W19" s="351"/>
      <c r="X19" s="351"/>
      <c r="Y19" s="351"/>
      <c r="Z19" s="351"/>
      <c r="AA19" s="477"/>
      <c r="AB19" s="343"/>
      <c r="AC19" s="343"/>
      <c r="AD19" s="343"/>
      <c r="AE19" s="351"/>
      <c r="AF19" s="351"/>
      <c r="AG19" s="351"/>
      <c r="AH19" s="351"/>
      <c r="AI19" s="351"/>
      <c r="AJ19" s="351"/>
      <c r="AK19" s="419"/>
      <c r="AL19" s="485"/>
      <c r="AM19" s="486"/>
      <c r="AN19" s="487"/>
      <c r="AO19" s="343"/>
      <c r="AP19" s="343"/>
      <c r="AQ19" s="343"/>
      <c r="AR19" s="351"/>
      <c r="AS19" s="351"/>
      <c r="AT19" s="351"/>
      <c r="AU19" s="351"/>
      <c r="AV19" s="351"/>
      <c r="AW19" s="351"/>
      <c r="AX19" s="477"/>
      <c r="AY19" s="343"/>
      <c r="AZ19" s="343"/>
      <c r="BA19" s="343"/>
      <c r="BB19" s="351"/>
      <c r="BC19" s="351"/>
      <c r="BD19" s="351"/>
      <c r="BE19" s="351"/>
      <c r="BF19" s="351"/>
      <c r="BG19" s="351"/>
      <c r="BH19" s="354"/>
    </row>
    <row r="20" spans="1:60" s="4" customFormat="1" ht="12.75" customHeight="1">
      <c r="A20" s="388"/>
      <c r="B20" s="389"/>
      <c r="C20" s="389"/>
      <c r="D20" s="389"/>
      <c r="E20" s="389"/>
      <c r="F20" s="389"/>
      <c r="G20" s="389"/>
      <c r="H20" s="390"/>
      <c r="I20" s="427"/>
      <c r="J20" s="428"/>
      <c r="K20" s="352"/>
      <c r="L20" s="352"/>
      <c r="M20" s="352"/>
      <c r="N20" s="420"/>
      <c r="O20" s="488"/>
      <c r="P20" s="489"/>
      <c r="Q20" s="490"/>
      <c r="R20" s="344"/>
      <c r="S20" s="344"/>
      <c r="T20" s="344"/>
      <c r="U20" s="352"/>
      <c r="V20" s="352"/>
      <c r="W20" s="352"/>
      <c r="X20" s="352"/>
      <c r="Y20" s="352"/>
      <c r="Z20" s="352"/>
      <c r="AA20" s="478"/>
      <c r="AB20" s="344"/>
      <c r="AC20" s="344"/>
      <c r="AD20" s="344"/>
      <c r="AE20" s="352"/>
      <c r="AF20" s="352"/>
      <c r="AG20" s="352"/>
      <c r="AH20" s="352"/>
      <c r="AI20" s="352"/>
      <c r="AJ20" s="352"/>
      <c r="AK20" s="420"/>
      <c r="AL20" s="488"/>
      <c r="AM20" s="489"/>
      <c r="AN20" s="490"/>
      <c r="AO20" s="344"/>
      <c r="AP20" s="344"/>
      <c r="AQ20" s="344"/>
      <c r="AR20" s="352"/>
      <c r="AS20" s="352"/>
      <c r="AT20" s="352"/>
      <c r="AU20" s="352"/>
      <c r="AV20" s="352"/>
      <c r="AW20" s="352"/>
      <c r="AX20" s="478"/>
      <c r="AY20" s="344"/>
      <c r="AZ20" s="344"/>
      <c r="BA20" s="344"/>
      <c r="BB20" s="352"/>
      <c r="BC20" s="352"/>
      <c r="BD20" s="352"/>
      <c r="BE20" s="352"/>
      <c r="BF20" s="352"/>
      <c r="BG20" s="352"/>
      <c r="BH20" s="355"/>
    </row>
    <row r="21" spans="1:60" s="4" customFormat="1" ht="12.75" customHeight="1">
      <c r="A21" s="388"/>
      <c r="B21" s="389"/>
      <c r="C21" s="389"/>
      <c r="D21" s="389"/>
      <c r="E21" s="389"/>
      <c r="F21" s="389"/>
      <c r="G21" s="389"/>
      <c r="H21" s="390"/>
      <c r="I21" s="462" t="s">
        <v>183</v>
      </c>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333" t="str">
        <f>"（"&amp;'奉仕団基礎データ（要入力）'!E7&amp;"名）"</f>
        <v>（名）</v>
      </c>
      <c r="AJ21" s="333"/>
      <c r="AK21" s="333"/>
      <c r="AL21" s="333"/>
      <c r="AM21" s="333"/>
      <c r="AN21" s="334"/>
      <c r="AO21" s="486" t="s">
        <v>129</v>
      </c>
      <c r="AP21" s="486"/>
      <c r="AQ21" s="486"/>
      <c r="AR21" s="486"/>
      <c r="AS21" s="486"/>
      <c r="AT21" s="486"/>
      <c r="AU21" s="486"/>
      <c r="AV21" s="486"/>
      <c r="AW21" s="486"/>
      <c r="AX21" s="486"/>
      <c r="AY21" s="486"/>
      <c r="AZ21" s="486"/>
      <c r="BA21" s="486"/>
      <c r="BB21" s="486"/>
      <c r="BC21" s="486"/>
      <c r="BD21" s="486"/>
      <c r="BE21" s="486"/>
      <c r="BF21" s="486"/>
      <c r="BG21" s="486"/>
      <c r="BH21" s="506"/>
    </row>
    <row r="22" spans="1:60" s="4" customFormat="1" ht="12.75" customHeight="1">
      <c r="A22" s="388"/>
      <c r="B22" s="389"/>
      <c r="C22" s="389"/>
      <c r="D22" s="389"/>
      <c r="E22" s="389"/>
      <c r="F22" s="389"/>
      <c r="G22" s="389"/>
      <c r="H22" s="390"/>
      <c r="I22" s="462"/>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351"/>
      <c r="AJ22" s="351"/>
      <c r="AK22" s="351"/>
      <c r="AL22" s="351"/>
      <c r="AM22" s="351"/>
      <c r="AN22" s="419"/>
      <c r="AO22" s="486"/>
      <c r="AP22" s="486"/>
      <c r="AQ22" s="486"/>
      <c r="AR22" s="486"/>
      <c r="AS22" s="486"/>
      <c r="AT22" s="486"/>
      <c r="AU22" s="486"/>
      <c r="AV22" s="486"/>
      <c r="AW22" s="486"/>
      <c r="AX22" s="486"/>
      <c r="AY22" s="486"/>
      <c r="AZ22" s="486"/>
      <c r="BA22" s="486"/>
      <c r="BB22" s="486"/>
      <c r="BC22" s="486"/>
      <c r="BD22" s="486"/>
      <c r="BE22" s="486"/>
      <c r="BF22" s="486"/>
      <c r="BG22" s="486"/>
      <c r="BH22" s="506"/>
    </row>
    <row r="23" spans="1:60" s="4" customFormat="1" ht="12.75" customHeight="1">
      <c r="A23" s="395"/>
      <c r="B23" s="396"/>
      <c r="C23" s="396"/>
      <c r="D23" s="396"/>
      <c r="E23" s="396"/>
      <c r="F23" s="396"/>
      <c r="G23" s="396"/>
      <c r="H23" s="397"/>
      <c r="I23" s="464"/>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352"/>
      <c r="AJ23" s="352"/>
      <c r="AK23" s="352"/>
      <c r="AL23" s="352"/>
      <c r="AM23" s="352"/>
      <c r="AN23" s="420"/>
      <c r="AO23" s="180"/>
      <c r="AP23" s="180"/>
      <c r="AQ23" s="180"/>
      <c r="AR23" s="180"/>
      <c r="AS23" s="180"/>
      <c r="AT23" s="180"/>
      <c r="AU23" s="180"/>
      <c r="AV23" s="180"/>
      <c r="AW23" s="180"/>
      <c r="AX23" s="180"/>
      <c r="AY23" s="180"/>
      <c r="AZ23" s="180"/>
      <c r="BA23" s="180"/>
      <c r="BB23" s="178"/>
      <c r="BC23" s="178"/>
      <c r="BD23" s="178"/>
      <c r="BE23" s="178"/>
      <c r="BF23" s="178"/>
      <c r="BG23" s="178"/>
      <c r="BH23" s="179"/>
    </row>
    <row r="24" spans="1:60" s="4" customFormat="1" ht="12.75" customHeight="1">
      <c r="A24" s="394" t="s">
        <v>26</v>
      </c>
      <c r="B24" s="386"/>
      <c r="C24" s="386"/>
      <c r="D24" s="386"/>
      <c r="E24" s="386"/>
      <c r="F24" s="386"/>
      <c r="G24" s="386"/>
      <c r="H24" s="387"/>
      <c r="I24" s="337" t="s">
        <v>32</v>
      </c>
      <c r="J24" s="338"/>
      <c r="K24" s="338"/>
      <c r="L24" s="338"/>
      <c r="M24" s="338"/>
      <c r="N24" s="333" t="str">
        <f>INDEX('奉仕団基礎データ（要入力）'!B10,1)</f>
        <v>もとやま　ともこ</v>
      </c>
      <c r="O24" s="333"/>
      <c r="P24" s="333"/>
      <c r="Q24" s="333"/>
      <c r="R24" s="333"/>
      <c r="S24" s="333"/>
      <c r="T24" s="333"/>
      <c r="U24" s="333"/>
      <c r="V24" s="333"/>
      <c r="W24" s="333"/>
      <c r="X24" s="333"/>
      <c r="Y24" s="333"/>
      <c r="Z24" s="333"/>
      <c r="AA24" s="333"/>
      <c r="AB24" s="333"/>
      <c r="AC24" s="333"/>
      <c r="AD24" s="333"/>
      <c r="AE24" s="333"/>
      <c r="AF24" s="333"/>
      <c r="AG24" s="333"/>
      <c r="AH24" s="334"/>
      <c r="AI24" s="338" t="s">
        <v>33</v>
      </c>
      <c r="AJ24" s="338"/>
      <c r="AK24" s="338"/>
      <c r="AL24" s="338"/>
      <c r="AM24" s="337" t="s">
        <v>34</v>
      </c>
      <c r="AN24" s="338"/>
      <c r="AO24" s="338"/>
      <c r="AP24" s="338"/>
      <c r="AQ24" s="338"/>
      <c r="AR24" s="363"/>
      <c r="AS24" s="333" t="str">
        <f>INDEX('奉仕団基礎データ（要入力）'!C10,1)</f>
        <v>057-371-9185</v>
      </c>
      <c r="AT24" s="333"/>
      <c r="AU24" s="333"/>
      <c r="AV24" s="333"/>
      <c r="AW24" s="333"/>
      <c r="AX24" s="333"/>
      <c r="AY24" s="333"/>
      <c r="AZ24" s="333"/>
      <c r="BA24" s="333"/>
      <c r="BB24" s="333"/>
      <c r="BC24" s="333"/>
      <c r="BD24" s="333"/>
      <c r="BE24" s="333"/>
      <c r="BF24" s="333"/>
      <c r="BG24" s="333"/>
      <c r="BH24" s="353"/>
    </row>
    <row r="25" spans="1:60" s="4" customFormat="1" ht="12.75" customHeight="1">
      <c r="A25" s="388"/>
      <c r="B25" s="389"/>
      <c r="C25" s="389"/>
      <c r="D25" s="389"/>
      <c r="E25" s="389"/>
      <c r="F25" s="389"/>
      <c r="G25" s="389"/>
      <c r="H25" s="390"/>
      <c r="I25" s="364"/>
      <c r="J25" s="365"/>
      <c r="K25" s="365"/>
      <c r="L25" s="365"/>
      <c r="M25" s="365"/>
      <c r="N25" s="335"/>
      <c r="O25" s="335"/>
      <c r="P25" s="335"/>
      <c r="Q25" s="335"/>
      <c r="R25" s="335"/>
      <c r="S25" s="335"/>
      <c r="T25" s="335"/>
      <c r="U25" s="335"/>
      <c r="V25" s="335"/>
      <c r="W25" s="335"/>
      <c r="X25" s="335"/>
      <c r="Y25" s="335"/>
      <c r="Z25" s="335"/>
      <c r="AA25" s="335"/>
      <c r="AB25" s="335"/>
      <c r="AC25" s="335"/>
      <c r="AD25" s="335"/>
      <c r="AE25" s="335"/>
      <c r="AF25" s="335"/>
      <c r="AG25" s="335"/>
      <c r="AH25" s="336"/>
      <c r="AI25" s="340"/>
      <c r="AJ25" s="340"/>
      <c r="AK25" s="340"/>
      <c r="AL25" s="340"/>
      <c r="AM25" s="364"/>
      <c r="AN25" s="365"/>
      <c r="AO25" s="365"/>
      <c r="AP25" s="365"/>
      <c r="AQ25" s="365"/>
      <c r="AR25" s="366"/>
      <c r="AS25" s="335"/>
      <c r="AT25" s="335"/>
      <c r="AU25" s="335"/>
      <c r="AV25" s="335"/>
      <c r="AW25" s="335"/>
      <c r="AX25" s="335"/>
      <c r="AY25" s="335"/>
      <c r="AZ25" s="335"/>
      <c r="BA25" s="335"/>
      <c r="BB25" s="335"/>
      <c r="BC25" s="335"/>
      <c r="BD25" s="335"/>
      <c r="BE25" s="335"/>
      <c r="BF25" s="335"/>
      <c r="BG25" s="335"/>
      <c r="BH25" s="505"/>
    </row>
    <row r="26" spans="1:60" s="4" customFormat="1" ht="12.75" customHeight="1">
      <c r="A26" s="388"/>
      <c r="B26" s="389"/>
      <c r="C26" s="389"/>
      <c r="D26" s="389"/>
      <c r="E26" s="389"/>
      <c r="F26" s="389"/>
      <c r="G26" s="389"/>
      <c r="H26" s="390"/>
      <c r="I26" s="474" t="s">
        <v>16</v>
      </c>
      <c r="J26" s="475"/>
      <c r="K26" s="475"/>
      <c r="L26" s="475"/>
      <c r="M26" s="475"/>
      <c r="N26" s="460" t="str">
        <f>INDEX('奉仕団基礎データ（要入力）'!A10,1)</f>
        <v>本山　朋子</v>
      </c>
      <c r="O26" s="460"/>
      <c r="P26" s="460"/>
      <c r="Q26" s="460"/>
      <c r="R26" s="460"/>
      <c r="S26" s="460"/>
      <c r="T26" s="460"/>
      <c r="U26" s="460"/>
      <c r="V26" s="460"/>
      <c r="W26" s="460"/>
      <c r="X26" s="460"/>
      <c r="Y26" s="460"/>
      <c r="Z26" s="460"/>
      <c r="AA26" s="460"/>
      <c r="AB26" s="460"/>
      <c r="AC26" s="460"/>
      <c r="AD26" s="460"/>
      <c r="AE26" s="460"/>
      <c r="AF26" s="460"/>
      <c r="AG26" s="460"/>
      <c r="AH26" s="461"/>
      <c r="AI26" s="340"/>
      <c r="AJ26" s="340"/>
      <c r="AK26" s="340"/>
      <c r="AL26" s="340"/>
      <c r="AM26" s="339" t="s">
        <v>35</v>
      </c>
      <c r="AN26" s="340"/>
      <c r="AO26" s="340"/>
      <c r="AP26" s="340"/>
      <c r="AQ26" s="340"/>
      <c r="AR26" s="438"/>
      <c r="AS26" s="351" t="str">
        <f>INDEX('奉仕団基礎データ（要入力）'!D10,1)</f>
        <v>080-0371-9185</v>
      </c>
      <c r="AT26" s="351"/>
      <c r="AU26" s="351"/>
      <c r="AV26" s="351"/>
      <c r="AW26" s="351"/>
      <c r="AX26" s="351"/>
      <c r="AY26" s="351"/>
      <c r="AZ26" s="351"/>
      <c r="BA26" s="351"/>
      <c r="BB26" s="351"/>
      <c r="BC26" s="351"/>
      <c r="BD26" s="351"/>
      <c r="BE26" s="351"/>
      <c r="BF26" s="351"/>
      <c r="BG26" s="351"/>
      <c r="BH26" s="354"/>
    </row>
    <row r="27" spans="1:60" s="4" customFormat="1" ht="12.75" customHeight="1">
      <c r="A27" s="388"/>
      <c r="B27" s="389"/>
      <c r="C27" s="389"/>
      <c r="D27" s="389"/>
      <c r="E27" s="389"/>
      <c r="F27" s="389"/>
      <c r="G27" s="389"/>
      <c r="H27" s="390"/>
      <c r="I27" s="417"/>
      <c r="J27" s="362"/>
      <c r="K27" s="362"/>
      <c r="L27" s="362"/>
      <c r="M27" s="362"/>
      <c r="N27" s="352"/>
      <c r="O27" s="352"/>
      <c r="P27" s="352"/>
      <c r="Q27" s="352"/>
      <c r="R27" s="352"/>
      <c r="S27" s="352"/>
      <c r="T27" s="352"/>
      <c r="U27" s="352"/>
      <c r="V27" s="352"/>
      <c r="W27" s="352"/>
      <c r="X27" s="352"/>
      <c r="Y27" s="352"/>
      <c r="Z27" s="352"/>
      <c r="AA27" s="352"/>
      <c r="AB27" s="352"/>
      <c r="AC27" s="352"/>
      <c r="AD27" s="352"/>
      <c r="AE27" s="352"/>
      <c r="AF27" s="352"/>
      <c r="AG27" s="352"/>
      <c r="AH27" s="420"/>
      <c r="AI27" s="340"/>
      <c r="AJ27" s="340"/>
      <c r="AK27" s="340"/>
      <c r="AL27" s="340"/>
      <c r="AM27" s="417"/>
      <c r="AN27" s="362"/>
      <c r="AO27" s="362"/>
      <c r="AP27" s="362"/>
      <c r="AQ27" s="362"/>
      <c r="AR27" s="418"/>
      <c r="AS27" s="351"/>
      <c r="AT27" s="351"/>
      <c r="AU27" s="351"/>
      <c r="AV27" s="351"/>
      <c r="AW27" s="351"/>
      <c r="AX27" s="351"/>
      <c r="AY27" s="351"/>
      <c r="AZ27" s="351"/>
      <c r="BA27" s="351"/>
      <c r="BB27" s="351"/>
      <c r="BC27" s="351"/>
      <c r="BD27" s="351"/>
      <c r="BE27" s="351"/>
      <c r="BF27" s="351"/>
      <c r="BG27" s="351"/>
      <c r="BH27" s="354"/>
    </row>
    <row r="28" spans="1:60" s="4" customFormat="1" ht="12.75" customHeight="1">
      <c r="A28" s="388"/>
      <c r="B28" s="389"/>
      <c r="C28" s="389"/>
      <c r="D28" s="389"/>
      <c r="E28" s="389"/>
      <c r="F28" s="389"/>
      <c r="G28" s="389"/>
      <c r="H28" s="390"/>
      <c r="I28" s="337" t="s">
        <v>3</v>
      </c>
      <c r="J28" s="338"/>
      <c r="K28" s="338"/>
      <c r="L28" s="338"/>
      <c r="M28" s="363"/>
      <c r="N28" s="369" t="s">
        <v>144</v>
      </c>
      <c r="O28" s="369"/>
      <c r="P28" s="371" t="str">
        <f>INDEX('奉仕団基礎データ（要入力）'!E10,1)</f>
        <v>600-8308</v>
      </c>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2"/>
    </row>
    <row r="29" spans="1:60" s="4" customFormat="1" ht="12.75" customHeight="1">
      <c r="A29" s="388"/>
      <c r="B29" s="389"/>
      <c r="C29" s="389"/>
      <c r="D29" s="389"/>
      <c r="E29" s="389"/>
      <c r="F29" s="389"/>
      <c r="G29" s="389"/>
      <c r="H29" s="390"/>
      <c r="I29" s="339"/>
      <c r="J29" s="340"/>
      <c r="K29" s="340"/>
      <c r="L29" s="340"/>
      <c r="M29" s="438"/>
      <c r="N29" s="370"/>
      <c r="O29" s="370"/>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4"/>
    </row>
    <row r="30" spans="1:60" s="4" customFormat="1" ht="12.75" customHeight="1">
      <c r="A30" s="388"/>
      <c r="B30" s="389"/>
      <c r="C30" s="389"/>
      <c r="D30" s="389"/>
      <c r="E30" s="389"/>
      <c r="F30" s="389"/>
      <c r="G30" s="389"/>
      <c r="H30" s="390"/>
      <c r="I30" s="339"/>
      <c r="J30" s="340"/>
      <c r="K30" s="340"/>
      <c r="L30" s="340"/>
      <c r="M30" s="438"/>
      <c r="N30" s="373" t="str">
        <f>INDEX('奉仕団基礎データ（要入力）'!F10:J10,1)</f>
        <v>京都府京都市下京区新シ町121</v>
      </c>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4"/>
    </row>
    <row r="31" spans="1:60" s="4" customFormat="1" ht="12.75" customHeight="1">
      <c r="A31" s="388"/>
      <c r="B31" s="389"/>
      <c r="C31" s="389"/>
      <c r="D31" s="389"/>
      <c r="E31" s="389"/>
      <c r="F31" s="389"/>
      <c r="G31" s="389"/>
      <c r="H31" s="390"/>
      <c r="I31" s="417"/>
      <c r="J31" s="362"/>
      <c r="K31" s="362"/>
      <c r="L31" s="362"/>
      <c r="M31" s="41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9"/>
    </row>
    <row r="32" spans="1:60" s="4" customFormat="1" ht="12.75" customHeight="1">
      <c r="A32" s="388"/>
      <c r="B32" s="389"/>
      <c r="C32" s="389"/>
      <c r="D32" s="389"/>
      <c r="E32" s="389"/>
      <c r="F32" s="389"/>
      <c r="G32" s="389"/>
      <c r="H32" s="390"/>
      <c r="I32" s="411" t="s">
        <v>78</v>
      </c>
      <c r="J32" s="380"/>
      <c r="K32" s="380"/>
      <c r="L32" s="380"/>
      <c r="M32" s="380"/>
      <c r="N32" s="380"/>
      <c r="O32" s="380"/>
      <c r="P32" s="380"/>
      <c r="Q32" s="380"/>
      <c r="R32" s="380"/>
      <c r="S32" s="338" t="s">
        <v>76</v>
      </c>
      <c r="T32" s="333" t="str">
        <f>INDEX('奉仕団基礎データ（要入力）'!A13:B13,1)</f>
        <v>メール</v>
      </c>
      <c r="U32" s="333"/>
      <c r="V32" s="333"/>
      <c r="W32" s="333"/>
      <c r="X32" s="333"/>
      <c r="Y32" s="333"/>
      <c r="Z32" s="338" t="s">
        <v>77</v>
      </c>
      <c r="AA32" s="22"/>
      <c r="AB32" s="333" t="str">
        <f>INDEX('奉仕団基礎データ（要入力）'!C13:F13,1)</f>
        <v>motoyama-ryoo@k87.dｄｇｋion.ne.jp</v>
      </c>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53"/>
    </row>
    <row r="33" spans="1:60" s="4" customFormat="1" ht="12.75" customHeight="1">
      <c r="A33" s="388"/>
      <c r="B33" s="389"/>
      <c r="C33" s="389"/>
      <c r="D33" s="389"/>
      <c r="E33" s="389"/>
      <c r="F33" s="389"/>
      <c r="G33" s="389"/>
      <c r="H33" s="390"/>
      <c r="I33" s="412"/>
      <c r="J33" s="381"/>
      <c r="K33" s="381"/>
      <c r="L33" s="381"/>
      <c r="M33" s="381"/>
      <c r="N33" s="381"/>
      <c r="O33" s="381"/>
      <c r="P33" s="381"/>
      <c r="Q33" s="381"/>
      <c r="R33" s="381"/>
      <c r="S33" s="340"/>
      <c r="T33" s="351"/>
      <c r="U33" s="351"/>
      <c r="V33" s="351"/>
      <c r="W33" s="351"/>
      <c r="X33" s="351"/>
      <c r="Y33" s="351"/>
      <c r="Z33" s="340"/>
      <c r="AA33" s="23"/>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4"/>
    </row>
    <row r="34" spans="1:60" s="4" customFormat="1" ht="12.75" customHeight="1">
      <c r="A34" s="395"/>
      <c r="B34" s="396"/>
      <c r="C34" s="396"/>
      <c r="D34" s="396"/>
      <c r="E34" s="396"/>
      <c r="F34" s="396"/>
      <c r="G34" s="396"/>
      <c r="H34" s="397"/>
      <c r="I34" s="413"/>
      <c r="J34" s="382"/>
      <c r="K34" s="382"/>
      <c r="L34" s="382"/>
      <c r="M34" s="382"/>
      <c r="N34" s="382"/>
      <c r="O34" s="382"/>
      <c r="P34" s="382"/>
      <c r="Q34" s="382"/>
      <c r="R34" s="382"/>
      <c r="S34" s="362"/>
      <c r="T34" s="352"/>
      <c r="U34" s="352"/>
      <c r="V34" s="352"/>
      <c r="W34" s="352"/>
      <c r="X34" s="352"/>
      <c r="Y34" s="352"/>
      <c r="Z34" s="362"/>
      <c r="AA34" s="12"/>
      <c r="AB34" s="497" t="s">
        <v>191</v>
      </c>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8"/>
    </row>
    <row r="35" spans="1:60" s="4" customFormat="1" ht="12.75" customHeight="1">
      <c r="A35" s="385" t="s">
        <v>128</v>
      </c>
      <c r="B35" s="386"/>
      <c r="C35" s="386"/>
      <c r="D35" s="386"/>
      <c r="E35" s="386"/>
      <c r="F35" s="386"/>
      <c r="G35" s="386"/>
      <c r="H35" s="387"/>
      <c r="I35" s="479" t="str">
        <f>INDEX('奉仕団基礎データ（要入力）'!B38,1)&amp;"名"</f>
        <v>0名</v>
      </c>
      <c r="J35" s="333"/>
      <c r="K35" s="333"/>
      <c r="L35" s="333"/>
      <c r="M35" s="333"/>
      <c r="N35" s="333"/>
      <c r="O35" s="333"/>
      <c r="P35" s="334"/>
      <c r="Q35" s="338" t="s">
        <v>198</v>
      </c>
      <c r="R35" s="338"/>
      <c r="S35" s="338"/>
      <c r="T35" s="338"/>
      <c r="U35" s="338"/>
      <c r="V35" s="338"/>
      <c r="W35" s="338"/>
      <c r="X35" s="338"/>
      <c r="Y35" s="338"/>
      <c r="Z35" s="338"/>
      <c r="AA35" s="338"/>
      <c r="AB35" s="338"/>
      <c r="AC35" s="338"/>
      <c r="AD35" s="338" t="s">
        <v>29</v>
      </c>
      <c r="AE35" s="375">
        <f>INDEX('奉仕団基礎データ（要入力）'!B36,1)</f>
        <v>0</v>
      </c>
      <c r="AF35" s="375"/>
      <c r="AG35" s="375"/>
      <c r="AH35" s="375"/>
      <c r="AI35" s="508" t="s">
        <v>31</v>
      </c>
      <c r="AJ35" s="508"/>
      <c r="AK35" s="508"/>
      <c r="AL35" s="380" t="s">
        <v>55</v>
      </c>
      <c r="AM35" s="380"/>
      <c r="AN35" s="338" t="s">
        <v>199</v>
      </c>
      <c r="AO35" s="338"/>
      <c r="AP35" s="338"/>
      <c r="AQ35" s="338"/>
      <c r="AR35" s="338"/>
      <c r="AS35" s="338"/>
      <c r="AT35" s="338"/>
      <c r="AU35" s="338"/>
      <c r="AV35" s="338"/>
      <c r="AW35" s="338"/>
      <c r="AX35" s="338"/>
      <c r="AY35" s="338"/>
      <c r="AZ35" s="338"/>
      <c r="BA35" s="340" t="s">
        <v>29</v>
      </c>
      <c r="BB35" s="375">
        <f>INDEX('奉仕団基礎データ（要入力）'!B37,1)</f>
        <v>0</v>
      </c>
      <c r="BC35" s="375"/>
      <c r="BD35" s="375"/>
      <c r="BE35" s="375"/>
      <c r="BF35" s="358" t="s">
        <v>31</v>
      </c>
      <c r="BG35" s="358"/>
      <c r="BH35" s="359"/>
    </row>
    <row r="36" spans="1:60" s="4" customFormat="1" ht="12.75" customHeight="1">
      <c r="A36" s="388"/>
      <c r="B36" s="389"/>
      <c r="C36" s="389"/>
      <c r="D36" s="389"/>
      <c r="E36" s="389"/>
      <c r="F36" s="389"/>
      <c r="G36" s="389"/>
      <c r="H36" s="390"/>
      <c r="I36" s="480"/>
      <c r="J36" s="351"/>
      <c r="K36" s="351"/>
      <c r="L36" s="351"/>
      <c r="M36" s="351"/>
      <c r="N36" s="351"/>
      <c r="O36" s="351"/>
      <c r="P36" s="419"/>
      <c r="Q36" s="340"/>
      <c r="R36" s="340"/>
      <c r="S36" s="340"/>
      <c r="T36" s="340"/>
      <c r="U36" s="340"/>
      <c r="V36" s="340"/>
      <c r="W36" s="340"/>
      <c r="X36" s="340"/>
      <c r="Y36" s="340"/>
      <c r="Z36" s="340"/>
      <c r="AA36" s="340"/>
      <c r="AB36" s="340"/>
      <c r="AC36" s="340"/>
      <c r="AD36" s="340"/>
      <c r="AE36" s="376"/>
      <c r="AF36" s="376"/>
      <c r="AG36" s="376"/>
      <c r="AH36" s="376"/>
      <c r="AI36" s="358"/>
      <c r="AJ36" s="358"/>
      <c r="AK36" s="358"/>
      <c r="AL36" s="381"/>
      <c r="AM36" s="381"/>
      <c r="AN36" s="340"/>
      <c r="AO36" s="340"/>
      <c r="AP36" s="340"/>
      <c r="AQ36" s="340"/>
      <c r="AR36" s="340"/>
      <c r="AS36" s="340"/>
      <c r="AT36" s="340"/>
      <c r="AU36" s="340"/>
      <c r="AV36" s="340"/>
      <c r="AW36" s="340"/>
      <c r="AX36" s="340"/>
      <c r="AY36" s="340"/>
      <c r="AZ36" s="340"/>
      <c r="BA36" s="340"/>
      <c r="BB36" s="376"/>
      <c r="BC36" s="376"/>
      <c r="BD36" s="376"/>
      <c r="BE36" s="376"/>
      <c r="BF36" s="358"/>
      <c r="BG36" s="358"/>
      <c r="BH36" s="359"/>
    </row>
    <row r="37" spans="1:60" s="4" customFormat="1" ht="12.75" customHeight="1">
      <c r="A37" s="388"/>
      <c r="B37" s="389"/>
      <c r="C37" s="389"/>
      <c r="D37" s="389"/>
      <c r="E37" s="389"/>
      <c r="F37" s="389"/>
      <c r="G37" s="389"/>
      <c r="H37" s="390"/>
      <c r="I37" s="481"/>
      <c r="J37" s="352"/>
      <c r="K37" s="352"/>
      <c r="L37" s="352"/>
      <c r="M37" s="352"/>
      <c r="N37" s="352"/>
      <c r="O37" s="352"/>
      <c r="P37" s="420"/>
      <c r="Q37" s="362"/>
      <c r="R37" s="362"/>
      <c r="S37" s="362"/>
      <c r="T37" s="362"/>
      <c r="U37" s="362"/>
      <c r="V37" s="362"/>
      <c r="W37" s="362"/>
      <c r="X37" s="362"/>
      <c r="Y37" s="362"/>
      <c r="Z37" s="362"/>
      <c r="AA37" s="362"/>
      <c r="AB37" s="362"/>
      <c r="AC37" s="362"/>
      <c r="AD37" s="340"/>
      <c r="AE37" s="377"/>
      <c r="AF37" s="377"/>
      <c r="AG37" s="377"/>
      <c r="AH37" s="377"/>
      <c r="AI37" s="360"/>
      <c r="AJ37" s="360"/>
      <c r="AK37" s="360"/>
      <c r="AL37" s="382"/>
      <c r="AM37" s="382"/>
      <c r="AN37" s="362"/>
      <c r="AO37" s="362"/>
      <c r="AP37" s="362"/>
      <c r="AQ37" s="362"/>
      <c r="AR37" s="362"/>
      <c r="AS37" s="362"/>
      <c r="AT37" s="362"/>
      <c r="AU37" s="362"/>
      <c r="AV37" s="362"/>
      <c r="AW37" s="362"/>
      <c r="AX37" s="362"/>
      <c r="AY37" s="362"/>
      <c r="AZ37" s="362"/>
      <c r="BA37" s="362"/>
      <c r="BB37" s="377"/>
      <c r="BC37" s="377"/>
      <c r="BD37" s="377"/>
      <c r="BE37" s="377"/>
      <c r="BF37" s="360"/>
      <c r="BG37" s="360"/>
      <c r="BH37" s="361"/>
    </row>
    <row r="38" spans="1:65" ht="12.75" customHeight="1">
      <c r="A38" s="385" t="s">
        <v>182</v>
      </c>
      <c r="B38" s="432"/>
      <c r="C38" s="432"/>
      <c r="D38" s="432"/>
      <c r="E38" s="432"/>
      <c r="F38" s="432"/>
      <c r="G38" s="432"/>
      <c r="H38" s="432"/>
      <c r="I38" s="432"/>
      <c r="J38" s="432"/>
      <c r="K38" s="432"/>
      <c r="L38" s="432"/>
      <c r="M38" s="432"/>
      <c r="N38" s="433"/>
      <c r="O38" s="337" t="s">
        <v>36</v>
      </c>
      <c r="P38" s="338"/>
      <c r="Q38" s="338"/>
      <c r="R38" s="338"/>
      <c r="S38" s="338"/>
      <c r="T38" s="338"/>
      <c r="U38" s="338"/>
      <c r="V38" s="437">
        <f>'奉仕団基礎データ（要入力）'!A21</f>
        <v>0.4583333333333333</v>
      </c>
      <c r="W38" s="375"/>
      <c r="X38" s="375"/>
      <c r="Y38" s="375"/>
      <c r="Z38" s="375"/>
      <c r="AA38" s="375"/>
      <c r="AB38" s="375"/>
      <c r="AC38" s="375"/>
      <c r="AD38" s="375"/>
      <c r="AE38" s="375"/>
      <c r="AF38" s="375"/>
      <c r="AG38" s="375"/>
      <c r="AH38" s="383" t="s">
        <v>54</v>
      </c>
      <c r="AI38" s="383"/>
      <c r="AJ38" s="383"/>
      <c r="AK38" s="338" t="s">
        <v>55</v>
      </c>
      <c r="AL38" s="338"/>
      <c r="AM38" s="338" t="s">
        <v>89</v>
      </c>
      <c r="AN38" s="338"/>
      <c r="AO38" s="338"/>
      <c r="AP38" s="338"/>
      <c r="AQ38" s="338"/>
      <c r="AR38" s="338"/>
      <c r="AS38" s="338"/>
      <c r="AT38" s="437">
        <f>'奉仕団基礎データ（要入力）'!B21</f>
        <v>0.5833333333333334</v>
      </c>
      <c r="AU38" s="437"/>
      <c r="AV38" s="437"/>
      <c r="AW38" s="437"/>
      <c r="AX38" s="437"/>
      <c r="AY38" s="437"/>
      <c r="AZ38" s="437"/>
      <c r="BA38" s="437"/>
      <c r="BB38" s="437"/>
      <c r="BC38" s="437"/>
      <c r="BD38" s="437"/>
      <c r="BE38" s="437"/>
      <c r="BF38" s="383" t="s">
        <v>54</v>
      </c>
      <c r="BG38" s="383"/>
      <c r="BH38" s="470"/>
      <c r="BL38" s="341"/>
      <c r="BM38" s="341"/>
    </row>
    <row r="39" spans="1:60" ht="12.75" customHeight="1">
      <c r="A39" s="434"/>
      <c r="B39" s="435"/>
      <c r="C39" s="435"/>
      <c r="D39" s="435"/>
      <c r="E39" s="435"/>
      <c r="F39" s="435"/>
      <c r="G39" s="435"/>
      <c r="H39" s="435"/>
      <c r="I39" s="435"/>
      <c r="J39" s="435"/>
      <c r="K39" s="435"/>
      <c r="L39" s="435"/>
      <c r="M39" s="435"/>
      <c r="N39" s="436"/>
      <c r="O39" s="339"/>
      <c r="P39" s="340"/>
      <c r="Q39" s="340"/>
      <c r="R39" s="340"/>
      <c r="S39" s="340"/>
      <c r="T39" s="340"/>
      <c r="U39" s="340"/>
      <c r="V39" s="376"/>
      <c r="W39" s="376"/>
      <c r="X39" s="376"/>
      <c r="Y39" s="376"/>
      <c r="Z39" s="376"/>
      <c r="AA39" s="376"/>
      <c r="AB39" s="376"/>
      <c r="AC39" s="376"/>
      <c r="AD39" s="376"/>
      <c r="AE39" s="376"/>
      <c r="AF39" s="376"/>
      <c r="AG39" s="376"/>
      <c r="AH39" s="384"/>
      <c r="AI39" s="384"/>
      <c r="AJ39" s="384"/>
      <c r="AK39" s="340"/>
      <c r="AL39" s="340"/>
      <c r="AM39" s="340"/>
      <c r="AN39" s="340"/>
      <c r="AO39" s="340"/>
      <c r="AP39" s="340"/>
      <c r="AQ39" s="340"/>
      <c r="AR39" s="340"/>
      <c r="AS39" s="340"/>
      <c r="AT39" s="512"/>
      <c r="AU39" s="512"/>
      <c r="AV39" s="512"/>
      <c r="AW39" s="512"/>
      <c r="AX39" s="512"/>
      <c r="AY39" s="512"/>
      <c r="AZ39" s="512"/>
      <c r="BA39" s="512"/>
      <c r="BB39" s="512"/>
      <c r="BC39" s="512"/>
      <c r="BD39" s="512"/>
      <c r="BE39" s="512"/>
      <c r="BF39" s="384"/>
      <c r="BG39" s="384"/>
      <c r="BH39" s="471"/>
    </row>
    <row r="40" spans="1:60" ht="12.75" customHeight="1">
      <c r="A40" s="434"/>
      <c r="B40" s="435"/>
      <c r="C40" s="435"/>
      <c r="D40" s="435"/>
      <c r="E40" s="435"/>
      <c r="F40" s="435"/>
      <c r="G40" s="435"/>
      <c r="H40" s="435"/>
      <c r="I40" s="435"/>
      <c r="J40" s="435"/>
      <c r="K40" s="435"/>
      <c r="L40" s="435"/>
      <c r="M40" s="435"/>
      <c r="N40" s="436"/>
      <c r="O40" s="339"/>
      <c r="P40" s="340"/>
      <c r="Q40" s="340"/>
      <c r="R40" s="340"/>
      <c r="S40" s="340"/>
      <c r="T40" s="340"/>
      <c r="U40" s="340"/>
      <c r="V40" s="376"/>
      <c r="W40" s="376"/>
      <c r="X40" s="376"/>
      <c r="Y40" s="376"/>
      <c r="Z40" s="376"/>
      <c r="AA40" s="376"/>
      <c r="AB40" s="376"/>
      <c r="AC40" s="376"/>
      <c r="AD40" s="376"/>
      <c r="AE40" s="376"/>
      <c r="AF40" s="376"/>
      <c r="AG40" s="376"/>
      <c r="AH40" s="384"/>
      <c r="AI40" s="384"/>
      <c r="AJ40" s="384"/>
      <c r="AK40" s="362"/>
      <c r="AL40" s="362"/>
      <c r="AM40" s="362"/>
      <c r="AN40" s="362"/>
      <c r="AO40" s="362"/>
      <c r="AP40" s="362"/>
      <c r="AQ40" s="362"/>
      <c r="AR40" s="362"/>
      <c r="AS40" s="362"/>
      <c r="AT40" s="491" t="s">
        <v>194</v>
      </c>
      <c r="AU40" s="491"/>
      <c r="AV40" s="491"/>
      <c r="AW40" s="491"/>
      <c r="AX40" s="491"/>
      <c r="AY40" s="491"/>
      <c r="AZ40" s="491"/>
      <c r="BA40" s="491"/>
      <c r="BB40" s="491"/>
      <c r="BC40" s="491"/>
      <c r="BD40" s="491"/>
      <c r="BE40" s="491"/>
      <c r="BF40" s="472"/>
      <c r="BG40" s="472"/>
      <c r="BH40" s="473"/>
    </row>
    <row r="41" spans="1:60" ht="25.5" customHeight="1">
      <c r="A41" s="385" t="s">
        <v>27</v>
      </c>
      <c r="B41" s="386"/>
      <c r="C41" s="386"/>
      <c r="D41" s="386"/>
      <c r="E41" s="386"/>
      <c r="F41" s="386"/>
      <c r="G41" s="386"/>
      <c r="H41" s="386"/>
      <c r="I41" s="386"/>
      <c r="J41" s="386"/>
      <c r="K41" s="386"/>
      <c r="L41" s="386"/>
      <c r="M41" s="386"/>
      <c r="N41" s="387"/>
      <c r="O41" s="429" t="str">
        <f>IF('奉仕団基礎データ（要入力）'!A24="JR京都駅","①","1")</f>
        <v>1</v>
      </c>
      <c r="P41" s="430"/>
      <c r="Q41" s="430"/>
      <c r="R41" s="416" t="s">
        <v>134</v>
      </c>
      <c r="S41" s="416"/>
      <c r="T41" s="416"/>
      <c r="U41" s="416"/>
      <c r="V41" s="416"/>
      <c r="W41" s="416"/>
      <c r="X41" s="183" t="s">
        <v>136</v>
      </c>
      <c r="Y41" s="338" t="s">
        <v>135</v>
      </c>
      <c r="Z41" s="338"/>
      <c r="AA41" s="338"/>
      <c r="AB41" s="338"/>
      <c r="AC41" s="338"/>
      <c r="AD41" s="431">
        <f>IF(O41="①",'奉仕団基礎データ（要入力）'!B24,"")</f>
      </c>
      <c r="AE41" s="431"/>
      <c r="AF41" s="431"/>
      <c r="AG41" s="431"/>
      <c r="AH41" s="431"/>
      <c r="AI41" s="431"/>
      <c r="AJ41" s="431"/>
      <c r="AK41" s="431"/>
      <c r="AL41" s="22" t="s">
        <v>30</v>
      </c>
      <c r="AM41" s="22"/>
      <c r="AN41" s="8"/>
      <c r="AO41" s="8"/>
      <c r="AP41" s="8"/>
      <c r="AQ41" s="8"/>
      <c r="AR41" s="8"/>
      <c r="AS41" s="8"/>
      <c r="AT41" s="8"/>
      <c r="AU41" s="8"/>
      <c r="AV41" s="8"/>
      <c r="AW41" s="8"/>
      <c r="AX41" s="8"/>
      <c r="AY41" s="8"/>
      <c r="AZ41" s="8"/>
      <c r="BA41" s="8"/>
      <c r="BB41" s="8"/>
      <c r="BC41" s="8"/>
      <c r="BD41" s="8"/>
      <c r="BE41" s="8"/>
      <c r="BF41" s="4"/>
      <c r="BG41" s="4"/>
      <c r="BH41" s="7"/>
    </row>
    <row r="42" spans="1:60" ht="9" customHeight="1">
      <c r="A42" s="388"/>
      <c r="B42" s="389"/>
      <c r="C42" s="389"/>
      <c r="D42" s="389"/>
      <c r="E42" s="389"/>
      <c r="F42" s="389"/>
      <c r="G42" s="389"/>
      <c r="H42" s="389"/>
      <c r="I42" s="389"/>
      <c r="J42" s="389"/>
      <c r="K42" s="389"/>
      <c r="L42" s="389"/>
      <c r="M42" s="389"/>
      <c r="N42" s="390"/>
      <c r="O42" s="409" t="str">
        <f>IF('奉仕団基礎データ（要入力）'!A24="バス","②","2")</f>
        <v>2</v>
      </c>
      <c r="P42" s="410"/>
      <c r="Q42" s="410"/>
      <c r="R42" s="358" t="s">
        <v>137</v>
      </c>
      <c r="S42" s="358"/>
      <c r="T42" s="358"/>
      <c r="U42" s="358"/>
      <c r="V42" s="358"/>
      <c r="W42" s="4"/>
      <c r="X42" s="507">
        <f>IF(O42="②",'奉仕団基礎データ（要入力）'!C24,"")</f>
      </c>
      <c r="Y42" s="507"/>
      <c r="Z42" s="507"/>
      <c r="AA42" s="507"/>
      <c r="AB42" s="507"/>
      <c r="AC42" s="507"/>
      <c r="AD42" s="507"/>
      <c r="AE42" s="496">
        <f>IF(O42="②",'奉仕団基礎データ（要入力）'!D24,"")</f>
      </c>
      <c r="AF42" s="496"/>
      <c r="AG42" s="496"/>
      <c r="AH42" s="340" t="s">
        <v>38</v>
      </c>
      <c r="AI42" s="340"/>
      <c r="AJ42" s="340" t="s">
        <v>138</v>
      </c>
      <c r="AK42" s="340"/>
      <c r="AL42" s="340" t="s">
        <v>39</v>
      </c>
      <c r="AM42" s="340"/>
      <c r="AN42" s="340"/>
      <c r="AO42" s="340"/>
      <c r="AP42" s="340"/>
      <c r="AQ42" s="340"/>
      <c r="AR42" s="340"/>
      <c r="AS42" s="340"/>
      <c r="AT42" s="340"/>
      <c r="AU42" s="340"/>
      <c r="AV42" s="340" t="s">
        <v>40</v>
      </c>
      <c r="AW42" s="496">
        <f>IF(O42="②",'奉仕団基礎データ（要入力）'!E24,"")</f>
      </c>
      <c r="AX42" s="496"/>
      <c r="AY42" s="496"/>
      <c r="AZ42" s="496"/>
      <c r="BA42" s="496"/>
      <c r="BB42" s="496"/>
      <c r="BC42" s="496"/>
      <c r="BD42" s="496"/>
      <c r="BE42" s="340" t="s">
        <v>41</v>
      </c>
      <c r="BF42" s="4"/>
      <c r="BG42" s="4"/>
      <c r="BH42" s="7"/>
    </row>
    <row r="43" spans="1:60" ht="9" customHeight="1">
      <c r="A43" s="388"/>
      <c r="B43" s="389"/>
      <c r="C43" s="389"/>
      <c r="D43" s="389"/>
      <c r="E43" s="389"/>
      <c r="F43" s="389"/>
      <c r="G43" s="389"/>
      <c r="H43" s="389"/>
      <c r="I43" s="389"/>
      <c r="J43" s="389"/>
      <c r="K43" s="389"/>
      <c r="L43" s="389"/>
      <c r="M43" s="389"/>
      <c r="N43" s="390"/>
      <c r="O43" s="409"/>
      <c r="P43" s="410"/>
      <c r="Q43" s="410"/>
      <c r="R43" s="358"/>
      <c r="S43" s="358"/>
      <c r="T43" s="358"/>
      <c r="U43" s="358"/>
      <c r="V43" s="358"/>
      <c r="W43" s="4"/>
      <c r="X43" s="507"/>
      <c r="Y43" s="507"/>
      <c r="Z43" s="507"/>
      <c r="AA43" s="507"/>
      <c r="AB43" s="507"/>
      <c r="AC43" s="507"/>
      <c r="AD43" s="507"/>
      <c r="AE43" s="496"/>
      <c r="AF43" s="496"/>
      <c r="AG43" s="496"/>
      <c r="AH43" s="340"/>
      <c r="AI43" s="340"/>
      <c r="AJ43" s="340"/>
      <c r="AK43" s="340"/>
      <c r="AL43" s="340"/>
      <c r="AM43" s="340"/>
      <c r="AN43" s="340"/>
      <c r="AO43" s="340"/>
      <c r="AP43" s="340"/>
      <c r="AQ43" s="340"/>
      <c r="AR43" s="340"/>
      <c r="AS43" s="340"/>
      <c r="AT43" s="340"/>
      <c r="AU43" s="340"/>
      <c r="AV43" s="340"/>
      <c r="AW43" s="496"/>
      <c r="AX43" s="496"/>
      <c r="AY43" s="496"/>
      <c r="AZ43" s="496"/>
      <c r="BA43" s="496"/>
      <c r="BB43" s="496"/>
      <c r="BC43" s="496"/>
      <c r="BD43" s="496"/>
      <c r="BE43" s="340"/>
      <c r="BF43" s="4"/>
      <c r="BG43" s="4"/>
      <c r="BH43" s="7"/>
    </row>
    <row r="44" spans="1:60" ht="9" customHeight="1">
      <c r="A44" s="388"/>
      <c r="B44" s="389"/>
      <c r="C44" s="389"/>
      <c r="D44" s="389"/>
      <c r="E44" s="389"/>
      <c r="F44" s="389"/>
      <c r="G44" s="389"/>
      <c r="H44" s="389"/>
      <c r="I44" s="389"/>
      <c r="J44" s="389"/>
      <c r="K44" s="389"/>
      <c r="L44" s="389"/>
      <c r="M44" s="389"/>
      <c r="N44" s="390"/>
      <c r="O44" s="409"/>
      <c r="P44" s="410"/>
      <c r="Q44" s="410"/>
      <c r="R44" s="358"/>
      <c r="S44" s="358"/>
      <c r="T44" s="358"/>
      <c r="U44" s="358"/>
      <c r="V44" s="358"/>
      <c r="W44" s="4"/>
      <c r="X44" s="507"/>
      <c r="Y44" s="507"/>
      <c r="Z44" s="507"/>
      <c r="AA44" s="507"/>
      <c r="AB44" s="507"/>
      <c r="AC44" s="507"/>
      <c r="AD44" s="507"/>
      <c r="AE44" s="496"/>
      <c r="AF44" s="496"/>
      <c r="AG44" s="496"/>
      <c r="AH44" s="340"/>
      <c r="AI44" s="340"/>
      <c r="AJ44" s="340"/>
      <c r="AK44" s="340"/>
      <c r="AL44" s="340"/>
      <c r="AM44" s="340"/>
      <c r="AN44" s="340"/>
      <c r="AO44" s="340"/>
      <c r="AP44" s="340"/>
      <c r="AQ44" s="340"/>
      <c r="AR44" s="340"/>
      <c r="AS44" s="340"/>
      <c r="AT44" s="340"/>
      <c r="AU44" s="340"/>
      <c r="AV44" s="340"/>
      <c r="AW44" s="496"/>
      <c r="AX44" s="496"/>
      <c r="AY44" s="496"/>
      <c r="AZ44" s="496"/>
      <c r="BA44" s="496"/>
      <c r="BB44" s="496"/>
      <c r="BC44" s="496"/>
      <c r="BD44" s="496"/>
      <c r="BE44" s="340"/>
      <c r="BF44" s="4"/>
      <c r="BG44" s="4"/>
      <c r="BH44" s="7"/>
    </row>
    <row r="45" spans="1:60" ht="9" customHeight="1">
      <c r="A45" s="388"/>
      <c r="B45" s="389"/>
      <c r="C45" s="389"/>
      <c r="D45" s="389"/>
      <c r="E45" s="389"/>
      <c r="F45" s="389"/>
      <c r="G45" s="389"/>
      <c r="H45" s="389"/>
      <c r="I45" s="389"/>
      <c r="J45" s="389"/>
      <c r="K45" s="389"/>
      <c r="L45" s="389"/>
      <c r="M45" s="389"/>
      <c r="N45" s="390"/>
      <c r="O45" s="409" t="str">
        <f>IF('奉仕団基礎データ（要入力）'!A24="現地集合","③","3")</f>
        <v>3</v>
      </c>
      <c r="P45" s="410"/>
      <c r="Q45" s="410"/>
      <c r="R45" s="358" t="s">
        <v>63</v>
      </c>
      <c r="S45" s="358"/>
      <c r="T45" s="358"/>
      <c r="U45" s="358"/>
      <c r="V45" s="358"/>
      <c r="W45" s="358"/>
      <c r="X45" s="358"/>
      <c r="Y45" s="358"/>
      <c r="Z45" s="358"/>
      <c r="AA45" s="358"/>
      <c r="AB45" s="358"/>
      <c r="AC45" s="358"/>
      <c r="AD45" s="358"/>
      <c r="AE45" s="358"/>
      <c r="AF45" s="358"/>
      <c r="AG45" s="358"/>
      <c r="AH45" s="358"/>
      <c r="AI45" s="358"/>
      <c r="AJ45" s="4"/>
      <c r="AK45" s="4"/>
      <c r="AL45" s="4"/>
      <c r="AM45" s="4"/>
      <c r="AN45" s="4"/>
      <c r="AO45" s="4"/>
      <c r="AP45" s="4"/>
      <c r="AQ45" s="4"/>
      <c r="AR45" s="4"/>
      <c r="AS45" s="4"/>
      <c r="AT45" s="4"/>
      <c r="AU45" s="4"/>
      <c r="AV45" s="4"/>
      <c r="AW45" s="4"/>
      <c r="AX45" s="4"/>
      <c r="AY45" s="4"/>
      <c r="AZ45" s="4"/>
      <c r="BA45" s="4"/>
      <c r="BB45" s="4"/>
      <c r="BC45" s="4"/>
      <c r="BD45" s="4"/>
      <c r="BE45" s="4"/>
      <c r="BF45" s="4"/>
      <c r="BG45" s="4"/>
      <c r="BH45" s="7"/>
    </row>
    <row r="46" spans="1:60" ht="9" customHeight="1">
      <c r="A46" s="388"/>
      <c r="B46" s="389"/>
      <c r="C46" s="389"/>
      <c r="D46" s="389"/>
      <c r="E46" s="389"/>
      <c r="F46" s="389"/>
      <c r="G46" s="389"/>
      <c r="H46" s="389"/>
      <c r="I46" s="389"/>
      <c r="J46" s="389"/>
      <c r="K46" s="389"/>
      <c r="L46" s="389"/>
      <c r="M46" s="389"/>
      <c r="N46" s="390"/>
      <c r="O46" s="409"/>
      <c r="P46" s="410"/>
      <c r="Q46" s="410"/>
      <c r="R46" s="358"/>
      <c r="S46" s="358"/>
      <c r="T46" s="358"/>
      <c r="U46" s="358"/>
      <c r="V46" s="358"/>
      <c r="W46" s="358"/>
      <c r="X46" s="358"/>
      <c r="Y46" s="358"/>
      <c r="Z46" s="358"/>
      <c r="AA46" s="358"/>
      <c r="AB46" s="358"/>
      <c r="AC46" s="358"/>
      <c r="AD46" s="358"/>
      <c r="AE46" s="358"/>
      <c r="AF46" s="358"/>
      <c r="AG46" s="358"/>
      <c r="AH46" s="358"/>
      <c r="AI46" s="358"/>
      <c r="AJ46" s="4"/>
      <c r="AK46" s="4"/>
      <c r="AL46" s="4"/>
      <c r="AM46" s="4"/>
      <c r="AN46" s="4"/>
      <c r="AO46" s="4"/>
      <c r="AP46" s="4"/>
      <c r="AQ46" s="4"/>
      <c r="AR46" s="4"/>
      <c r="AS46" s="4"/>
      <c r="AT46" s="4"/>
      <c r="AU46" s="4"/>
      <c r="AV46" s="4"/>
      <c r="AW46" s="4"/>
      <c r="AX46" s="4"/>
      <c r="AY46" s="4"/>
      <c r="AZ46" s="4"/>
      <c r="BA46" s="4"/>
      <c r="BB46" s="4"/>
      <c r="BC46" s="4"/>
      <c r="BD46" s="4"/>
      <c r="BE46" s="4"/>
      <c r="BF46" s="4"/>
      <c r="BG46" s="4"/>
      <c r="BH46" s="7"/>
    </row>
    <row r="47" spans="1:60" ht="9" customHeight="1">
      <c r="A47" s="388"/>
      <c r="B47" s="389"/>
      <c r="C47" s="389"/>
      <c r="D47" s="389"/>
      <c r="E47" s="389"/>
      <c r="F47" s="389"/>
      <c r="G47" s="389"/>
      <c r="H47" s="389"/>
      <c r="I47" s="389"/>
      <c r="J47" s="389"/>
      <c r="K47" s="389"/>
      <c r="L47" s="389"/>
      <c r="M47" s="389"/>
      <c r="N47" s="390"/>
      <c r="O47" s="409"/>
      <c r="P47" s="410"/>
      <c r="Q47" s="410"/>
      <c r="R47" s="358"/>
      <c r="S47" s="358"/>
      <c r="T47" s="358"/>
      <c r="U47" s="358"/>
      <c r="V47" s="358"/>
      <c r="W47" s="358"/>
      <c r="X47" s="358"/>
      <c r="Y47" s="358"/>
      <c r="Z47" s="358"/>
      <c r="AA47" s="358"/>
      <c r="AB47" s="358"/>
      <c r="AC47" s="358"/>
      <c r="AD47" s="358"/>
      <c r="AE47" s="358"/>
      <c r="AF47" s="358"/>
      <c r="AG47" s="358"/>
      <c r="AH47" s="358"/>
      <c r="AI47" s="358"/>
      <c r="AJ47" s="4"/>
      <c r="AK47" s="4"/>
      <c r="AL47" s="4"/>
      <c r="AM47" s="4"/>
      <c r="AN47" s="4"/>
      <c r="AO47" s="4"/>
      <c r="AP47" s="4"/>
      <c r="AQ47" s="4"/>
      <c r="AR47" s="4"/>
      <c r="AS47" s="4"/>
      <c r="AT47" s="4"/>
      <c r="AU47" s="4"/>
      <c r="AV47" s="4"/>
      <c r="AW47" s="4"/>
      <c r="AX47" s="4"/>
      <c r="AY47" s="4"/>
      <c r="AZ47" s="4"/>
      <c r="BA47" s="4"/>
      <c r="BB47" s="4"/>
      <c r="BC47" s="4"/>
      <c r="BD47" s="4"/>
      <c r="BE47" s="4"/>
      <c r="BF47" s="4"/>
      <c r="BG47" s="4"/>
      <c r="BH47" s="7"/>
    </row>
    <row r="48" spans="1:60" ht="9" customHeight="1">
      <c r="A48" s="388"/>
      <c r="B48" s="389"/>
      <c r="C48" s="389"/>
      <c r="D48" s="389"/>
      <c r="E48" s="389"/>
      <c r="F48" s="389"/>
      <c r="G48" s="389"/>
      <c r="H48" s="389"/>
      <c r="I48" s="389"/>
      <c r="J48" s="389"/>
      <c r="K48" s="389"/>
      <c r="L48" s="389"/>
      <c r="M48" s="389"/>
      <c r="N48" s="390"/>
      <c r="O48" s="409" t="str">
        <f>IF('奉仕団基礎データ（要入力）'!A24="その他","④","4")</f>
        <v>④</v>
      </c>
      <c r="P48" s="410"/>
      <c r="Q48" s="410"/>
      <c r="R48" s="358" t="s">
        <v>37</v>
      </c>
      <c r="S48" s="358"/>
      <c r="T48" s="358"/>
      <c r="U48" s="358"/>
      <c r="V48" s="358"/>
      <c r="W48" s="340" t="s">
        <v>29</v>
      </c>
      <c r="X48" s="367" t="str">
        <f>IF(O48="④",'奉仕団基礎データ（要入力）'!F24,"")</f>
        <v>自家用車</v>
      </c>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407" t="s">
        <v>30</v>
      </c>
    </row>
    <row r="49" spans="1:60" ht="9" customHeight="1">
      <c r="A49" s="388"/>
      <c r="B49" s="389"/>
      <c r="C49" s="389"/>
      <c r="D49" s="389"/>
      <c r="E49" s="389"/>
      <c r="F49" s="389"/>
      <c r="G49" s="389"/>
      <c r="H49" s="389"/>
      <c r="I49" s="389"/>
      <c r="J49" s="389"/>
      <c r="K49" s="389"/>
      <c r="L49" s="389"/>
      <c r="M49" s="389"/>
      <c r="N49" s="390"/>
      <c r="O49" s="409"/>
      <c r="P49" s="410"/>
      <c r="Q49" s="410"/>
      <c r="R49" s="358"/>
      <c r="S49" s="358"/>
      <c r="T49" s="358"/>
      <c r="U49" s="358"/>
      <c r="V49" s="358"/>
      <c r="W49" s="340"/>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407"/>
    </row>
    <row r="50" spans="1:60" ht="9" customHeight="1" thickBot="1">
      <c r="A50" s="391"/>
      <c r="B50" s="392"/>
      <c r="C50" s="392"/>
      <c r="D50" s="392"/>
      <c r="E50" s="392"/>
      <c r="F50" s="392"/>
      <c r="G50" s="392"/>
      <c r="H50" s="392"/>
      <c r="I50" s="392"/>
      <c r="J50" s="392"/>
      <c r="K50" s="392"/>
      <c r="L50" s="392"/>
      <c r="M50" s="392"/>
      <c r="N50" s="393"/>
      <c r="O50" s="466"/>
      <c r="P50" s="467"/>
      <c r="Q50" s="467"/>
      <c r="R50" s="414"/>
      <c r="S50" s="414"/>
      <c r="T50" s="414"/>
      <c r="U50" s="414"/>
      <c r="V50" s="414"/>
      <c r="W50" s="415"/>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408"/>
    </row>
    <row r="51" spans="1:60" ht="7.5" customHeight="1" thickBot="1">
      <c r="A51" s="174"/>
      <c r="B51" s="174"/>
      <c r="C51" s="174"/>
      <c r="D51" s="174"/>
      <c r="E51" s="174"/>
      <c r="F51" s="174"/>
      <c r="G51" s="174"/>
      <c r="H51" s="174"/>
      <c r="I51" s="174"/>
      <c r="J51" s="174"/>
      <c r="K51" s="174"/>
      <c r="L51" s="174"/>
      <c r="M51" s="174"/>
      <c r="N51" s="174"/>
      <c r="O51" s="175"/>
      <c r="P51" s="175"/>
      <c r="Q51" s="175"/>
      <c r="R51" s="172"/>
      <c r="S51" s="172"/>
      <c r="T51" s="172"/>
      <c r="U51" s="172"/>
      <c r="V51" s="172"/>
      <c r="W51" s="4"/>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4"/>
    </row>
    <row r="52" spans="1:60" s="4" customFormat="1" ht="7.5" customHeight="1">
      <c r="A52" s="443" t="s">
        <v>131</v>
      </c>
      <c r="B52" s="444"/>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5"/>
    </row>
    <row r="53" spans="1:60" s="4" customFormat="1" ht="7.5" customHeight="1">
      <c r="A53" s="446"/>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8"/>
    </row>
    <row r="54" spans="1:60" s="4" customFormat="1" ht="7.5" customHeight="1">
      <c r="A54" s="449"/>
      <c r="B54" s="450"/>
      <c r="C54" s="450"/>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450"/>
      <c r="BE54" s="450"/>
      <c r="BF54" s="450"/>
      <c r="BG54" s="450"/>
      <c r="BH54" s="451"/>
    </row>
    <row r="55" spans="1:60" s="4" customFormat="1" ht="15" customHeight="1">
      <c r="A55" s="398" t="str">
        <f>IF('奉仕団基礎データ（要入力）'!A27:J27="","",'奉仕団基礎データ（要入力）'!A27:J27)</f>
        <v>（記入例）アレルギーのある参加者と薬を持参する参加者がおりますので、留意ください。←入力の際はこの文章を消去のうえ入力ください。</v>
      </c>
      <c r="B55" s="399"/>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400"/>
    </row>
    <row r="56" spans="1:60" s="4" customFormat="1" ht="15" customHeight="1">
      <c r="A56" s="401"/>
      <c r="B56" s="402"/>
      <c r="C56" s="402"/>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c r="BE56" s="402"/>
      <c r="BF56" s="402"/>
      <c r="BG56" s="402"/>
      <c r="BH56" s="403"/>
    </row>
    <row r="57" spans="1:60" s="4" customFormat="1" ht="15" customHeight="1">
      <c r="A57" s="401"/>
      <c r="B57" s="402"/>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2"/>
      <c r="BG57" s="402"/>
      <c r="BH57" s="403"/>
    </row>
    <row r="58" spans="1:60" s="4" customFormat="1" ht="15" customHeight="1">
      <c r="A58" s="401"/>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c r="BE58" s="402"/>
      <c r="BF58" s="402"/>
      <c r="BG58" s="402"/>
      <c r="BH58" s="403"/>
    </row>
    <row r="59" spans="1:60" s="4" customFormat="1" ht="15" customHeight="1">
      <c r="A59" s="401"/>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2"/>
      <c r="BG59" s="402"/>
      <c r="BH59" s="403"/>
    </row>
    <row r="60" spans="1:60" s="4" customFormat="1" ht="15" customHeight="1">
      <c r="A60" s="40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3"/>
    </row>
    <row r="61" spans="1:60" s="4" customFormat="1" ht="15" customHeight="1">
      <c r="A61" s="401"/>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3"/>
    </row>
    <row r="62" spans="1:60" s="4" customFormat="1" ht="15" customHeight="1">
      <c r="A62" s="401"/>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3"/>
    </row>
    <row r="63" spans="1:60" s="4" customFormat="1" ht="15" customHeight="1" thickBot="1">
      <c r="A63" s="404"/>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c r="BB63" s="405"/>
      <c r="BC63" s="405"/>
      <c r="BD63" s="405"/>
      <c r="BE63" s="405"/>
      <c r="BF63" s="405"/>
      <c r="BG63" s="405"/>
      <c r="BH63" s="406"/>
    </row>
    <row r="64" spans="1:61" ht="10.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4"/>
      <c r="AM64" s="4"/>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4"/>
    </row>
    <row r="65" spans="1:40" ht="9" customHeight="1">
      <c r="A65" s="69"/>
      <c r="B65" s="8"/>
      <c r="C65" s="8"/>
      <c r="D65" s="8"/>
      <c r="E65" s="8"/>
      <c r="F65" s="8"/>
      <c r="G65" s="8"/>
      <c r="H65" s="9"/>
      <c r="I65" s="337" t="s">
        <v>94</v>
      </c>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63"/>
      <c r="AL65" s="6"/>
      <c r="AM65" s="4"/>
      <c r="AN65" s="4"/>
    </row>
    <row r="66" spans="1:39" ht="9" customHeight="1">
      <c r="A66" s="6"/>
      <c r="B66" s="4"/>
      <c r="C66" s="4"/>
      <c r="D66" s="4"/>
      <c r="E66" s="4"/>
      <c r="F66" s="4"/>
      <c r="G66" s="4"/>
      <c r="H66" s="10"/>
      <c r="I66" s="417"/>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418"/>
      <c r="AL66" s="6"/>
      <c r="AM66" s="4"/>
    </row>
    <row r="67" spans="1:39" ht="9" customHeight="1">
      <c r="A67" s="6"/>
      <c r="B67" s="4"/>
      <c r="C67" s="4"/>
      <c r="D67" s="4"/>
      <c r="E67" s="4"/>
      <c r="F67" s="4"/>
      <c r="G67" s="4"/>
      <c r="H67" s="10"/>
      <c r="I67" s="337" t="s">
        <v>43</v>
      </c>
      <c r="J67" s="338"/>
      <c r="K67" s="338"/>
      <c r="L67" s="363"/>
      <c r="M67" s="4"/>
      <c r="N67" s="4"/>
      <c r="O67" s="4"/>
      <c r="P67" s="4"/>
      <c r="Q67" s="4"/>
      <c r="R67" s="456" t="s">
        <v>106</v>
      </c>
      <c r="S67" s="439"/>
      <c r="T67" s="439"/>
      <c r="U67" s="439"/>
      <c r="V67" s="439" t="s">
        <v>105</v>
      </c>
      <c r="W67" s="439"/>
      <c r="X67" s="439"/>
      <c r="Y67" s="439"/>
      <c r="Z67" s="439" t="s">
        <v>104</v>
      </c>
      <c r="AA67" s="439"/>
      <c r="AB67" s="439"/>
      <c r="AC67" s="439"/>
      <c r="AD67" s="439" t="s">
        <v>17</v>
      </c>
      <c r="AE67" s="439"/>
      <c r="AF67" s="439"/>
      <c r="AG67" s="440"/>
      <c r="AH67" s="337" t="s">
        <v>95</v>
      </c>
      <c r="AI67" s="338"/>
      <c r="AJ67" s="338"/>
      <c r="AK67" s="363"/>
      <c r="AL67" s="6"/>
      <c r="AM67" s="4"/>
    </row>
    <row r="68" spans="1:39" ht="9" customHeight="1">
      <c r="A68" s="6"/>
      <c r="B68" s="4"/>
      <c r="C68" s="4"/>
      <c r="D68" s="4"/>
      <c r="E68" s="4"/>
      <c r="F68" s="4"/>
      <c r="G68" s="4"/>
      <c r="H68" s="10"/>
      <c r="I68" s="417"/>
      <c r="J68" s="362"/>
      <c r="K68" s="362"/>
      <c r="L68" s="418"/>
      <c r="M68" s="4"/>
      <c r="N68" s="4"/>
      <c r="O68" s="4"/>
      <c r="P68" s="4"/>
      <c r="Q68" s="4"/>
      <c r="R68" s="457"/>
      <c r="S68" s="441"/>
      <c r="T68" s="441"/>
      <c r="U68" s="441"/>
      <c r="V68" s="441"/>
      <c r="W68" s="441"/>
      <c r="X68" s="441"/>
      <c r="Y68" s="441"/>
      <c r="Z68" s="441"/>
      <c r="AA68" s="441"/>
      <c r="AB68" s="441"/>
      <c r="AC68" s="441"/>
      <c r="AD68" s="441"/>
      <c r="AE68" s="441"/>
      <c r="AF68" s="441"/>
      <c r="AG68" s="442"/>
      <c r="AH68" s="417"/>
      <c r="AI68" s="362"/>
      <c r="AJ68" s="362"/>
      <c r="AK68" s="418"/>
      <c r="AL68" s="6"/>
      <c r="AM68" s="4"/>
    </row>
    <row r="69" spans="1:39" ht="9" customHeight="1">
      <c r="A69" s="6"/>
      <c r="B69" s="4"/>
      <c r="C69" s="4"/>
      <c r="D69" s="4"/>
      <c r="E69" s="4"/>
      <c r="F69" s="4"/>
      <c r="G69" s="4"/>
      <c r="H69" s="10"/>
      <c r="I69" s="337"/>
      <c r="J69" s="338"/>
      <c r="K69" s="338"/>
      <c r="L69" s="363"/>
      <c r="M69" s="4"/>
      <c r="N69" s="4"/>
      <c r="O69" s="4"/>
      <c r="P69" s="4"/>
      <c r="Q69" s="4"/>
      <c r="R69" s="457"/>
      <c r="S69" s="441"/>
      <c r="T69" s="441"/>
      <c r="U69" s="441"/>
      <c r="V69" s="441"/>
      <c r="W69" s="441"/>
      <c r="X69" s="441"/>
      <c r="Y69" s="441"/>
      <c r="Z69" s="441"/>
      <c r="AA69" s="441"/>
      <c r="AB69" s="441"/>
      <c r="AC69" s="441"/>
      <c r="AD69" s="441"/>
      <c r="AE69" s="441"/>
      <c r="AF69" s="441"/>
      <c r="AG69" s="442"/>
      <c r="AH69" s="337"/>
      <c r="AI69" s="338"/>
      <c r="AJ69" s="338"/>
      <c r="AK69" s="363"/>
      <c r="AL69" s="6"/>
      <c r="AM69" s="4"/>
    </row>
    <row r="70" spans="1:38" ht="9" customHeight="1">
      <c r="A70" s="6"/>
      <c r="B70" s="4"/>
      <c r="C70" s="4"/>
      <c r="D70" s="4"/>
      <c r="E70" s="4"/>
      <c r="F70" s="4"/>
      <c r="G70" s="4"/>
      <c r="H70" s="10"/>
      <c r="I70" s="339"/>
      <c r="J70" s="340"/>
      <c r="K70" s="340"/>
      <c r="L70" s="438"/>
      <c r="M70" s="4"/>
      <c r="N70" s="4"/>
      <c r="O70" s="4"/>
      <c r="P70" s="4"/>
      <c r="Q70" s="4"/>
      <c r="R70" s="458"/>
      <c r="S70" s="452"/>
      <c r="T70" s="452"/>
      <c r="U70" s="452"/>
      <c r="V70" s="452"/>
      <c r="W70" s="452"/>
      <c r="X70" s="452"/>
      <c r="Y70" s="452"/>
      <c r="Z70" s="452"/>
      <c r="AA70" s="452"/>
      <c r="AB70" s="452"/>
      <c r="AC70" s="452"/>
      <c r="AD70" s="452"/>
      <c r="AE70" s="452"/>
      <c r="AF70" s="452"/>
      <c r="AG70" s="454"/>
      <c r="AH70" s="339"/>
      <c r="AI70" s="340"/>
      <c r="AJ70" s="340"/>
      <c r="AK70" s="438"/>
      <c r="AL70" s="6"/>
    </row>
    <row r="71" spans="1:38" ht="9" customHeight="1">
      <c r="A71" s="6"/>
      <c r="B71" s="4"/>
      <c r="C71" s="4"/>
      <c r="D71" s="4"/>
      <c r="E71" s="4"/>
      <c r="F71" s="4"/>
      <c r="G71" s="4"/>
      <c r="H71" s="10"/>
      <c r="I71" s="339"/>
      <c r="J71" s="340"/>
      <c r="K71" s="340"/>
      <c r="L71" s="438"/>
      <c r="M71" s="4"/>
      <c r="N71" s="4"/>
      <c r="O71" s="4"/>
      <c r="P71" s="4"/>
      <c r="Q71" s="4"/>
      <c r="R71" s="458"/>
      <c r="S71" s="452"/>
      <c r="T71" s="452"/>
      <c r="U71" s="452"/>
      <c r="V71" s="452"/>
      <c r="W71" s="452"/>
      <c r="X71" s="452"/>
      <c r="Y71" s="452"/>
      <c r="Z71" s="452"/>
      <c r="AA71" s="452"/>
      <c r="AB71" s="452"/>
      <c r="AC71" s="452"/>
      <c r="AD71" s="452"/>
      <c r="AE71" s="452"/>
      <c r="AF71" s="452"/>
      <c r="AG71" s="454"/>
      <c r="AH71" s="339"/>
      <c r="AI71" s="340"/>
      <c r="AJ71" s="340"/>
      <c r="AK71" s="438"/>
      <c r="AL71" s="6"/>
    </row>
    <row r="72" spans="1:38" ht="9" customHeight="1">
      <c r="A72" s="6"/>
      <c r="B72" s="4"/>
      <c r="C72" s="4"/>
      <c r="D72" s="4"/>
      <c r="E72" s="4"/>
      <c r="F72" s="4"/>
      <c r="G72" s="4"/>
      <c r="H72" s="10"/>
      <c r="I72" s="339"/>
      <c r="J72" s="340"/>
      <c r="K72" s="340"/>
      <c r="L72" s="438"/>
      <c r="M72" s="4"/>
      <c r="N72" s="4"/>
      <c r="O72" s="4"/>
      <c r="P72" s="4"/>
      <c r="Q72" s="4"/>
      <c r="R72" s="458"/>
      <c r="S72" s="452"/>
      <c r="T72" s="452"/>
      <c r="U72" s="452"/>
      <c r="V72" s="452"/>
      <c r="W72" s="452"/>
      <c r="X72" s="452"/>
      <c r="Y72" s="452"/>
      <c r="Z72" s="452"/>
      <c r="AA72" s="452"/>
      <c r="AB72" s="452"/>
      <c r="AC72" s="452"/>
      <c r="AD72" s="452"/>
      <c r="AE72" s="452"/>
      <c r="AF72" s="452"/>
      <c r="AG72" s="454"/>
      <c r="AH72" s="339"/>
      <c r="AI72" s="340"/>
      <c r="AJ72" s="340"/>
      <c r="AK72" s="438"/>
      <c r="AL72" s="6"/>
    </row>
    <row r="73" spans="1:38" ht="9" customHeight="1">
      <c r="A73" s="6"/>
      <c r="B73" s="4"/>
      <c r="C73" s="4"/>
      <c r="D73" s="4"/>
      <c r="E73" s="4"/>
      <c r="F73" s="4"/>
      <c r="G73" s="4"/>
      <c r="H73" s="10"/>
      <c r="I73" s="339"/>
      <c r="J73" s="340"/>
      <c r="K73" s="340"/>
      <c r="L73" s="438"/>
      <c r="M73" s="4"/>
      <c r="N73" s="4"/>
      <c r="O73" s="4"/>
      <c r="P73" s="4"/>
      <c r="Q73" s="4"/>
      <c r="R73" s="458"/>
      <c r="S73" s="452"/>
      <c r="T73" s="452"/>
      <c r="U73" s="452"/>
      <c r="V73" s="452"/>
      <c r="W73" s="452"/>
      <c r="X73" s="452"/>
      <c r="Y73" s="452"/>
      <c r="Z73" s="452"/>
      <c r="AA73" s="452"/>
      <c r="AB73" s="452"/>
      <c r="AC73" s="452"/>
      <c r="AD73" s="452"/>
      <c r="AE73" s="452"/>
      <c r="AF73" s="452"/>
      <c r="AG73" s="454"/>
      <c r="AH73" s="339"/>
      <c r="AI73" s="340"/>
      <c r="AJ73" s="340"/>
      <c r="AK73" s="438"/>
      <c r="AL73" s="6"/>
    </row>
    <row r="74" spans="1:38" ht="9" customHeight="1">
      <c r="A74" s="6"/>
      <c r="B74" s="4"/>
      <c r="C74" s="4"/>
      <c r="D74" s="4"/>
      <c r="E74" s="4"/>
      <c r="F74" s="4"/>
      <c r="G74" s="4"/>
      <c r="H74" s="10"/>
      <c r="I74" s="339"/>
      <c r="J74" s="340"/>
      <c r="K74" s="340"/>
      <c r="L74" s="438"/>
      <c r="M74" s="4"/>
      <c r="N74" s="4"/>
      <c r="O74" s="4"/>
      <c r="P74" s="4"/>
      <c r="Q74" s="4"/>
      <c r="R74" s="458"/>
      <c r="S74" s="452"/>
      <c r="T74" s="452"/>
      <c r="U74" s="452"/>
      <c r="V74" s="452"/>
      <c r="W74" s="452"/>
      <c r="X74" s="452"/>
      <c r="Y74" s="452"/>
      <c r="Z74" s="452"/>
      <c r="AA74" s="452"/>
      <c r="AB74" s="452"/>
      <c r="AC74" s="452"/>
      <c r="AD74" s="452"/>
      <c r="AE74" s="452"/>
      <c r="AF74" s="452"/>
      <c r="AG74" s="454"/>
      <c r="AH74" s="339"/>
      <c r="AI74" s="340"/>
      <c r="AJ74" s="340"/>
      <c r="AK74" s="438"/>
      <c r="AL74" s="6"/>
    </row>
    <row r="75" spans="1:38" ht="9" customHeight="1">
      <c r="A75" s="11"/>
      <c r="B75" s="5"/>
      <c r="C75" s="5"/>
      <c r="D75" s="5"/>
      <c r="E75" s="5"/>
      <c r="F75" s="5"/>
      <c r="G75" s="5"/>
      <c r="H75" s="70"/>
      <c r="I75" s="417"/>
      <c r="J75" s="362"/>
      <c r="K75" s="362"/>
      <c r="L75" s="418"/>
      <c r="M75" s="5"/>
      <c r="N75" s="5"/>
      <c r="O75" s="5"/>
      <c r="P75" s="5"/>
      <c r="Q75" s="5"/>
      <c r="R75" s="459"/>
      <c r="S75" s="453"/>
      <c r="T75" s="453"/>
      <c r="U75" s="453"/>
      <c r="V75" s="453"/>
      <c r="W75" s="453"/>
      <c r="X75" s="453"/>
      <c r="Y75" s="453"/>
      <c r="Z75" s="453"/>
      <c r="AA75" s="453"/>
      <c r="AB75" s="453"/>
      <c r="AC75" s="453"/>
      <c r="AD75" s="453"/>
      <c r="AE75" s="453"/>
      <c r="AF75" s="453"/>
      <c r="AG75" s="455"/>
      <c r="AH75" s="417"/>
      <c r="AI75" s="362"/>
      <c r="AJ75" s="362"/>
      <c r="AK75" s="418"/>
      <c r="AL75" s="6"/>
    </row>
    <row r="76" ht="9.75" customHeight="1">
      <c r="AL76" s="4"/>
    </row>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sheetData>
  <sheetProtection selectLockedCells="1"/>
  <mergeCells count="121">
    <mergeCell ref="A5:AG8"/>
    <mergeCell ref="A24:H34"/>
    <mergeCell ref="I24:M25"/>
    <mergeCell ref="AB18:AD20"/>
    <mergeCell ref="I14:AA17"/>
    <mergeCell ref="AF14:AH17"/>
    <mergeCell ref="AP7:BF8"/>
    <mergeCell ref="A10:H13"/>
    <mergeCell ref="A35:H37"/>
    <mergeCell ref="AT38:BE39"/>
    <mergeCell ref="AD35:AD37"/>
    <mergeCell ref="AZ14:BA17"/>
    <mergeCell ref="AL18:AN20"/>
    <mergeCell ref="AI14:AU17"/>
    <mergeCell ref="U18:AA20"/>
    <mergeCell ref="AI6:AO8"/>
    <mergeCell ref="AO21:BH22"/>
    <mergeCell ref="AL42:AU44"/>
    <mergeCell ref="X42:AD44"/>
    <mergeCell ref="AE42:AG44"/>
    <mergeCell ref="R45:AI47"/>
    <mergeCell ref="AI35:AK37"/>
    <mergeCell ref="AI21:AN23"/>
    <mergeCell ref="A14:H17"/>
    <mergeCell ref="R10:W13"/>
    <mergeCell ref="I10:N13"/>
    <mergeCell ref="O10:Q13"/>
    <mergeCell ref="BE42:BE44"/>
    <mergeCell ref="AW42:BD44"/>
    <mergeCell ref="AB34:BH34"/>
    <mergeCell ref="AK38:AL40"/>
    <mergeCell ref="BB14:BH17"/>
    <mergeCell ref="AS24:BH25"/>
    <mergeCell ref="AO18:AQ20"/>
    <mergeCell ref="O18:Q20"/>
    <mergeCell ref="AM26:AR27"/>
    <mergeCell ref="AT40:BE40"/>
    <mergeCell ref="S32:S34"/>
    <mergeCell ref="A2:N3"/>
    <mergeCell ref="AT1:BH2"/>
    <mergeCell ref="AI4:AM5"/>
    <mergeCell ref="AN4:BB5"/>
    <mergeCell ref="X10:Z13"/>
    <mergeCell ref="AD70:AG72"/>
    <mergeCell ref="AH69:AK75"/>
    <mergeCell ref="I65:AK66"/>
    <mergeCell ref="V67:Y69"/>
    <mergeCell ref="Z67:AC69"/>
    <mergeCell ref="BG7:BH8"/>
    <mergeCell ref="BF38:BH40"/>
    <mergeCell ref="I26:M27"/>
    <mergeCell ref="AS26:BH27"/>
    <mergeCell ref="AR18:AX20"/>
    <mergeCell ref="O48:Q50"/>
    <mergeCell ref="AV42:AV44"/>
    <mergeCell ref="T32:Y34"/>
    <mergeCell ref="R42:V44"/>
    <mergeCell ref="AB32:BH33"/>
    <mergeCell ref="AJ42:AK44"/>
    <mergeCell ref="I35:P37"/>
    <mergeCell ref="O42:Q44"/>
    <mergeCell ref="AH42:AI44"/>
    <mergeCell ref="R67:U69"/>
    <mergeCell ref="R18:T20"/>
    <mergeCell ref="R73:U75"/>
    <mergeCell ref="R70:U72"/>
    <mergeCell ref="V70:Y72"/>
    <mergeCell ref="Z70:AC72"/>
    <mergeCell ref="N26:AH27"/>
    <mergeCell ref="K18:N20"/>
    <mergeCell ref="I21:AH23"/>
    <mergeCell ref="I28:M31"/>
    <mergeCell ref="AD67:AG69"/>
    <mergeCell ref="A52:BH54"/>
    <mergeCell ref="BA35:BA37"/>
    <mergeCell ref="I67:L68"/>
    <mergeCell ref="V73:Y75"/>
    <mergeCell ref="Z73:AC75"/>
    <mergeCell ref="I69:L75"/>
    <mergeCell ref="AD73:AG75"/>
    <mergeCell ref="AE35:AH37"/>
    <mergeCell ref="AN35:AZ37"/>
    <mergeCell ref="AH67:AK68"/>
    <mergeCell ref="AE18:AK20"/>
    <mergeCell ref="AB14:AE17"/>
    <mergeCell ref="I18:J20"/>
    <mergeCell ref="AI24:AL27"/>
    <mergeCell ref="O41:Q41"/>
    <mergeCell ref="AD41:AK41"/>
    <mergeCell ref="A38:N40"/>
    <mergeCell ref="V38:AG40"/>
    <mergeCell ref="A41:N50"/>
    <mergeCell ref="A18:H23"/>
    <mergeCell ref="A55:BH63"/>
    <mergeCell ref="BH48:BH50"/>
    <mergeCell ref="O45:Q47"/>
    <mergeCell ref="I32:R34"/>
    <mergeCell ref="Q35:AC37"/>
    <mergeCell ref="R48:V50"/>
    <mergeCell ref="W48:W50"/>
    <mergeCell ref="R41:W41"/>
    <mergeCell ref="AM24:AR25"/>
    <mergeCell ref="X48:BG50"/>
    <mergeCell ref="N28:O29"/>
    <mergeCell ref="P28:BH29"/>
    <mergeCell ref="Y41:AC41"/>
    <mergeCell ref="BB35:BE37"/>
    <mergeCell ref="N30:BH31"/>
    <mergeCell ref="AL35:AM37"/>
    <mergeCell ref="AH38:AJ40"/>
    <mergeCell ref="Z32:Z34"/>
    <mergeCell ref="N24:AH25"/>
    <mergeCell ref="O38:U40"/>
    <mergeCell ref="BL38:BM38"/>
    <mergeCell ref="AY18:BA20"/>
    <mergeCell ref="AZ10:BH13"/>
    <mergeCell ref="AA10:AY13"/>
    <mergeCell ref="BB18:BH20"/>
    <mergeCell ref="AV14:AY17"/>
    <mergeCell ref="BF35:BH37"/>
    <mergeCell ref="AM38:AS40"/>
  </mergeCells>
  <printOptions/>
  <pageMargins left="0.43" right="0.28" top="0.2" bottom="0.22" header="0.26" footer="0.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O10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F10" sqref="F10"/>
    </sheetView>
  </sheetViews>
  <sheetFormatPr defaultColWidth="9.00390625" defaultRowHeight="13.5"/>
  <cols>
    <col min="1" max="1" width="4.50390625" style="2" bestFit="1" customWidth="1"/>
    <col min="2" max="2" width="12.375" style="2" bestFit="1" customWidth="1"/>
    <col min="3" max="3" width="15.125" style="2" bestFit="1" customWidth="1"/>
    <col min="4" max="4" width="7.125" style="2" bestFit="1" customWidth="1"/>
    <col min="5" max="5" width="9.00390625" style="2" customWidth="1"/>
    <col min="6" max="6" width="11.00390625" style="2" customWidth="1"/>
    <col min="7" max="7" width="11.75390625" style="2" customWidth="1"/>
    <col min="8" max="8" width="13.00390625" style="2" customWidth="1"/>
  </cols>
  <sheetData>
    <row r="1" spans="1:8" ht="29.25" customHeight="1">
      <c r="A1" s="530" t="s">
        <v>83</v>
      </c>
      <c r="B1" s="530"/>
      <c r="C1" s="530"/>
      <c r="D1" s="530"/>
      <c r="E1" s="530"/>
      <c r="F1" s="530"/>
      <c r="G1" s="530"/>
      <c r="H1" s="530"/>
    </row>
    <row r="2" spans="1:8" s="1" customFormat="1" ht="18" customHeight="1">
      <c r="A2" s="24"/>
      <c r="B2" s="25" t="s">
        <v>16</v>
      </c>
      <c r="C2" s="229" t="s">
        <v>181</v>
      </c>
      <c r="D2" s="25" t="s">
        <v>80</v>
      </c>
      <c r="E2" s="25" t="s">
        <v>81</v>
      </c>
      <c r="F2" s="25" t="s">
        <v>17</v>
      </c>
      <c r="G2" s="25" t="s">
        <v>37</v>
      </c>
      <c r="H2" s="26" t="s">
        <v>82</v>
      </c>
    </row>
    <row r="3" spans="1:8" s="1" customFormat="1" ht="18" customHeight="1" thickBot="1">
      <c r="A3" s="27"/>
      <c r="B3" s="28" t="s">
        <v>107</v>
      </c>
      <c r="C3" s="29">
        <f>IF('奉仕団基礎データ（要入力）'!E4=1,6500,IF('奉仕団基礎データ（要入力）'!E4=2,9000,""))</f>
        <v>6500</v>
      </c>
      <c r="D3" s="28"/>
      <c r="E3" s="28" t="str">
        <f>IF('奉仕団基礎データ（要入力）'!E4=1,"\800",IF('奉仕団基礎データ（要入力）'!E4=2,"\1,300",""))</f>
        <v>\800</v>
      </c>
      <c r="F3" s="29">
        <v>5000</v>
      </c>
      <c r="G3" s="28"/>
      <c r="H3" s="30"/>
    </row>
    <row r="4" spans="1:15" s="1" customFormat="1" ht="18" customHeight="1">
      <c r="A4" s="31">
        <v>1</v>
      </c>
      <c r="B4" s="33">
        <f>IF(INDEX('参加者データ（要入力）'!$B$3:$B$102,1,1)="","",INDEX('参加者データ（要入力）'!$B$3:$B$102,1,1))</f>
      </c>
      <c r="C4" s="71"/>
      <c r="D4" s="71"/>
      <c r="E4" s="71"/>
      <c r="F4" s="72">
        <f>IF(OR(INDEX('参加者データ（要入力）'!$J$3:$J$102,1,1)="A",INDEX('参加者データ（要入力）'!$J$3:$J$102,1,1)="B"),10000,"")</f>
      </c>
      <c r="G4" s="71"/>
      <c r="H4" s="38">
        <f>SUM(C4:G4)</f>
        <v>0</v>
      </c>
      <c r="I4" s="531" t="s">
        <v>186</v>
      </c>
      <c r="J4" s="532"/>
      <c r="K4" s="532"/>
      <c r="L4" s="532"/>
      <c r="M4" s="532"/>
      <c r="N4" s="532"/>
      <c r="O4" s="532"/>
    </row>
    <row r="5" spans="1:8" s="1" customFormat="1" ht="18" customHeight="1">
      <c r="A5" s="32">
        <v>2</v>
      </c>
      <c r="B5" s="33">
        <f>IF(INDEX('参加者データ（要入力）'!$B$3:$B$102,2,1)="","",INDEX('参加者データ（要入力）'!$B$3:$B$102,2,1))</f>
      </c>
      <c r="C5" s="72"/>
      <c r="D5" s="72"/>
      <c r="E5" s="72"/>
      <c r="F5" s="72">
        <f>IF(OR(INDEX('参加者データ（要入力）'!$J$3:$J$102,2,1)="A",INDEX('参加者データ（要入力）'!$J$3:$J$102,2,1)="B"),10000,"")</f>
      </c>
      <c r="G5" s="72"/>
      <c r="H5" s="39">
        <f>SUM(C5:G5)</f>
        <v>0</v>
      </c>
    </row>
    <row r="6" spans="1:9" s="1" customFormat="1" ht="18" customHeight="1">
      <c r="A6" s="32">
        <v>3</v>
      </c>
      <c r="B6" s="33">
        <f>IF(INDEX('参加者データ（要入力）'!$B$3:$B$102,3,1)="","",INDEX('参加者データ（要入力）'!$B$3:$B$102,3,1))</f>
      </c>
      <c r="C6" s="72"/>
      <c r="D6" s="72"/>
      <c r="E6" s="72"/>
      <c r="F6" s="72">
        <f>IF(OR(INDEX('参加者データ（要入力）'!$J$3:$J$102,3,1)="A",INDEX('参加者データ（要入力）'!$J$3:$J$102,3,1)="B"),10000,"")</f>
      </c>
      <c r="G6" s="72"/>
      <c r="H6" s="39">
        <f>SUM(C6:G6)</f>
        <v>0</v>
      </c>
      <c r="I6" s="1" t="s">
        <v>187</v>
      </c>
    </row>
    <row r="7" spans="1:11" s="1" customFormat="1" ht="18" customHeight="1">
      <c r="A7" s="32">
        <v>4</v>
      </c>
      <c r="B7" s="33">
        <f>IF(INDEX('参加者データ（要入力）'!$B$3:$B$102,4,1)="","",INDEX('参加者データ（要入力）'!$B$3:$B$102,4,1))</f>
      </c>
      <c r="C7" s="72"/>
      <c r="D7" s="72"/>
      <c r="E7" s="72"/>
      <c r="F7" s="72">
        <f>IF(OR(INDEX('参加者データ（要入力）'!$J$3:$J$102,4,1)="A",INDEX('参加者データ（要入力）'!$J$3:$J$102,4,1)="B"),10000,"")</f>
      </c>
      <c r="G7" s="72"/>
      <c r="H7" s="39">
        <f aca="true" t="shared" si="0" ref="H7:H69">SUM(C7:G7)</f>
        <v>0</v>
      </c>
      <c r="I7" s="1" t="s">
        <v>184</v>
      </c>
      <c r="K7" s="85"/>
    </row>
    <row r="8" spans="1:9" s="1" customFormat="1" ht="18" customHeight="1">
      <c r="A8" s="32">
        <v>5</v>
      </c>
      <c r="B8" s="33">
        <f>IF(INDEX('参加者データ（要入力）'!$B$3:$B$102,5,1)="","",INDEX('参加者データ（要入力）'!$B$3:$B$102,5,1))</f>
      </c>
      <c r="C8" s="72"/>
      <c r="D8" s="72"/>
      <c r="E8" s="72"/>
      <c r="F8" s="72">
        <f>IF(OR(INDEX('参加者データ（要入力）'!$J$3:$J$102,5,1)="A",INDEX('参加者データ（要入力）'!$J$3:$J$102,5,1)="B"),10000,"")</f>
      </c>
      <c r="G8" s="72"/>
      <c r="H8" s="39">
        <f t="shared" si="0"/>
        <v>0</v>
      </c>
      <c r="I8" s="1" t="s">
        <v>185</v>
      </c>
    </row>
    <row r="9" spans="1:8" s="1" customFormat="1" ht="18" customHeight="1">
      <c r="A9" s="32">
        <v>6</v>
      </c>
      <c r="B9" s="33">
        <f>IF(INDEX('参加者データ（要入力）'!$B$3:$B$102,6,1)="","",INDEX('参加者データ（要入力）'!$B$3:$B$102,6,1))</f>
      </c>
      <c r="C9" s="72"/>
      <c r="D9" s="72"/>
      <c r="E9" s="72"/>
      <c r="F9" s="72">
        <f>IF(OR(INDEX('参加者データ（要入力）'!$J$3:$J$102,6,1)="A",INDEX('参加者データ（要入力）'!$J$3:$J$102,6,1)="B"),10000,"")</f>
      </c>
      <c r="G9" s="72"/>
      <c r="H9" s="39">
        <f t="shared" si="0"/>
        <v>0</v>
      </c>
    </row>
    <row r="10" spans="1:8" s="1" customFormat="1" ht="18" customHeight="1">
      <c r="A10" s="32">
        <v>7</v>
      </c>
      <c r="B10" s="33">
        <f>IF(INDEX('参加者データ（要入力）'!$B$3:$B$102,7,1)="","",INDEX('参加者データ（要入力）'!$B$3:$B$102,7,1))</f>
      </c>
      <c r="C10" s="72"/>
      <c r="D10" s="72"/>
      <c r="E10" s="72"/>
      <c r="F10" s="72">
        <f>IF(OR(INDEX('参加者データ（要入力）'!$J$3:$J$102,7,1)="A",INDEX('参加者データ（要入力）'!$J$3:$J$102,7,1)="B"),10000,"")</f>
      </c>
      <c r="G10" s="72"/>
      <c r="H10" s="39">
        <f t="shared" si="0"/>
        <v>0</v>
      </c>
    </row>
    <row r="11" spans="1:8" s="1" customFormat="1" ht="18" customHeight="1">
      <c r="A11" s="32">
        <v>8</v>
      </c>
      <c r="B11" s="33">
        <f>IF(INDEX('参加者データ（要入力）'!$B$3:$B$102,8,1)="","",INDEX('参加者データ（要入力）'!$B$3:$B$102,8,1))</f>
      </c>
      <c r="C11" s="72"/>
      <c r="D11" s="72"/>
      <c r="E11" s="72"/>
      <c r="F11" s="72">
        <f>IF(OR(INDEX('参加者データ（要入力）'!$J$3:$J$102,8,1)="A",INDEX('参加者データ（要入力）'!$J$3:$J$102,8,1)="B"),10000,"")</f>
      </c>
      <c r="G11" s="72"/>
      <c r="H11" s="39">
        <f t="shared" si="0"/>
        <v>0</v>
      </c>
    </row>
    <row r="12" spans="1:8" s="1" customFormat="1" ht="18" customHeight="1">
      <c r="A12" s="32">
        <v>9</v>
      </c>
      <c r="B12" s="33">
        <f>IF(INDEX('参加者データ（要入力）'!$B$3:$B$102,9,1)="","",INDEX('参加者データ（要入力）'!$B$3:$B$102,9,1))</f>
      </c>
      <c r="C12" s="72"/>
      <c r="D12" s="72"/>
      <c r="E12" s="72"/>
      <c r="F12" s="72">
        <f>IF(OR(INDEX('参加者データ（要入力）'!$J$3:$J$102,9,1)="A",INDEX('参加者データ（要入力）'!$J$3:$J$102,9,1)="B"),10000,"")</f>
      </c>
      <c r="G12" s="72"/>
      <c r="H12" s="39">
        <f t="shared" si="0"/>
        <v>0</v>
      </c>
    </row>
    <row r="13" spans="1:8" s="1" customFormat="1" ht="18" customHeight="1">
      <c r="A13" s="32">
        <v>10</v>
      </c>
      <c r="B13" s="33">
        <f>IF(INDEX('参加者データ（要入力）'!$B$3:$B$102,10,1)="","",INDEX('参加者データ（要入力）'!$B$3:$B$102,10,1))</f>
      </c>
      <c r="C13" s="72"/>
      <c r="D13" s="72"/>
      <c r="E13" s="72"/>
      <c r="F13" s="72">
        <f>IF(OR(INDEX('参加者データ（要入力）'!$J$3:$J$102,10,1)="A",INDEX('参加者データ（要入力）'!$J$3:$J$102,10,1)="B"),10000,"")</f>
      </c>
      <c r="G13" s="72"/>
      <c r="H13" s="39">
        <f t="shared" si="0"/>
        <v>0</v>
      </c>
    </row>
    <row r="14" spans="1:8" s="1" customFormat="1" ht="18" customHeight="1">
      <c r="A14" s="32">
        <v>11</v>
      </c>
      <c r="B14" s="33">
        <f>IF(INDEX('参加者データ（要入力）'!$B$3:$B$102,11,1)="","",INDEX('参加者データ（要入力）'!$B$3:$B$102,11,1))</f>
      </c>
      <c r="C14" s="72"/>
      <c r="D14" s="72"/>
      <c r="E14" s="72"/>
      <c r="F14" s="72">
        <f>IF(OR(INDEX('参加者データ（要入力）'!$J$3:$J$102,11,1)="A",INDEX('参加者データ（要入力）'!$J$3:$J$102,11,1)="B"),10000,"")</f>
      </c>
      <c r="G14" s="72"/>
      <c r="H14" s="39">
        <f t="shared" si="0"/>
        <v>0</v>
      </c>
    </row>
    <row r="15" spans="1:8" s="1" customFormat="1" ht="18" customHeight="1">
      <c r="A15" s="32">
        <v>12</v>
      </c>
      <c r="B15" s="33">
        <f>IF(INDEX('参加者データ（要入力）'!$B$3:$B$102,12,1)="","",INDEX('参加者データ（要入力）'!$B$3:$B$102,12,1))</f>
      </c>
      <c r="C15" s="72"/>
      <c r="D15" s="72"/>
      <c r="E15" s="72"/>
      <c r="F15" s="72">
        <f>IF(OR(INDEX('参加者データ（要入力）'!$J$3:$J$102,12,1)="A",INDEX('参加者データ（要入力）'!$J$3:$J$102,12,1)="B"),10000,"")</f>
      </c>
      <c r="G15" s="72"/>
      <c r="H15" s="39">
        <f t="shared" si="0"/>
        <v>0</v>
      </c>
    </row>
    <row r="16" spans="1:8" s="1" customFormat="1" ht="18" customHeight="1">
      <c r="A16" s="32">
        <v>13</v>
      </c>
      <c r="B16" s="33">
        <f>IF(INDEX('参加者データ（要入力）'!$B$3:$B$102,13,1)="","",INDEX('参加者データ（要入力）'!$B$3:$B$102,13,1))</f>
      </c>
      <c r="C16" s="72"/>
      <c r="D16" s="72"/>
      <c r="E16" s="72"/>
      <c r="F16" s="72">
        <f>IF(OR(INDEX('参加者データ（要入力）'!$J$3:$J$102,13,1)="A",INDEX('参加者データ（要入力）'!$J$3:$J$102,13,1)="B"),10000,"")</f>
      </c>
      <c r="G16" s="72"/>
      <c r="H16" s="39">
        <f t="shared" si="0"/>
        <v>0</v>
      </c>
    </row>
    <row r="17" spans="1:8" s="1" customFormat="1" ht="18" customHeight="1">
      <c r="A17" s="32">
        <v>14</v>
      </c>
      <c r="B17" s="33">
        <f>IF(INDEX('参加者データ（要入力）'!$B$3:$B$102,14,1)="","",INDEX('参加者データ（要入力）'!$B$3:$B$102,14,1))</f>
      </c>
      <c r="C17" s="72"/>
      <c r="D17" s="72"/>
      <c r="E17" s="72"/>
      <c r="F17" s="72">
        <f>IF(OR(INDEX('参加者データ（要入力）'!$J$3:$J$102,14,1)="A",INDEX('参加者データ（要入力）'!$J$3:$J$102,14,1)="B"),10000,"")</f>
      </c>
      <c r="G17" s="72"/>
      <c r="H17" s="39">
        <f t="shared" si="0"/>
        <v>0</v>
      </c>
    </row>
    <row r="18" spans="1:8" s="1" customFormat="1" ht="18" customHeight="1">
      <c r="A18" s="32">
        <v>15</v>
      </c>
      <c r="B18" s="33">
        <f>IF(INDEX('参加者データ（要入力）'!$B$3:$B$102,15,1)="","",INDEX('参加者データ（要入力）'!$B$3:$B$102,15,1))</f>
      </c>
      <c r="C18" s="72"/>
      <c r="D18" s="72"/>
      <c r="E18" s="72"/>
      <c r="F18" s="72">
        <f>IF(OR(INDEX('参加者データ（要入力）'!$J$3:$J$102,15,1)="A",INDEX('参加者データ（要入力）'!$J$3:$J$102,15,1)="B"),10000,"")</f>
      </c>
      <c r="G18" s="72"/>
      <c r="H18" s="39">
        <f t="shared" si="0"/>
        <v>0</v>
      </c>
    </row>
    <row r="19" spans="1:8" s="1" customFormat="1" ht="18" customHeight="1">
      <c r="A19" s="32">
        <v>16</v>
      </c>
      <c r="B19" s="33">
        <f>IF(INDEX('参加者データ（要入力）'!$B$3:$B$102,16,1)="","",INDEX('参加者データ（要入力）'!$B$3:$B$102,16,1))</f>
      </c>
      <c r="C19" s="72"/>
      <c r="D19" s="72"/>
      <c r="E19" s="72"/>
      <c r="F19" s="72">
        <f>IF(OR(INDEX('参加者データ（要入力）'!$J$3:$J$102,16,1)="A",INDEX('参加者データ（要入力）'!$J$3:$J$102,16,1)="B"),10000,"")</f>
      </c>
      <c r="G19" s="72"/>
      <c r="H19" s="39">
        <f t="shared" si="0"/>
        <v>0</v>
      </c>
    </row>
    <row r="20" spans="1:8" s="1" customFormat="1" ht="18" customHeight="1">
      <c r="A20" s="32">
        <v>17</v>
      </c>
      <c r="B20" s="33">
        <f>IF(INDEX('参加者データ（要入力）'!$B$3:$B$102,17,1)="","",INDEX('参加者データ（要入力）'!$B$3:$B$102,17,1))</f>
      </c>
      <c r="C20" s="72"/>
      <c r="D20" s="72"/>
      <c r="E20" s="72"/>
      <c r="F20" s="72">
        <f>IF(OR(INDEX('参加者データ（要入力）'!$J$3:$J$102,17,1)="A",INDEX('参加者データ（要入力）'!$J$3:$J$102,17,1)="B"),10000,"")</f>
      </c>
      <c r="G20" s="72"/>
      <c r="H20" s="39">
        <f t="shared" si="0"/>
        <v>0</v>
      </c>
    </row>
    <row r="21" spans="1:8" s="1" customFormat="1" ht="18" customHeight="1">
      <c r="A21" s="32">
        <v>18</v>
      </c>
      <c r="B21" s="33">
        <f>IF(INDEX('参加者データ（要入力）'!$B$3:$B$102,18,1)="","",INDEX('参加者データ（要入力）'!$B$3:$B$102,18,1))</f>
      </c>
      <c r="C21" s="72"/>
      <c r="D21" s="72"/>
      <c r="E21" s="72"/>
      <c r="F21" s="72">
        <f>IF(OR(INDEX('参加者データ（要入力）'!$J$3:$J$102,18,1)="A",INDEX('参加者データ（要入力）'!$J$3:$J$102,18,1)="B"),10000,"")</f>
      </c>
      <c r="G21" s="72"/>
      <c r="H21" s="39">
        <f t="shared" si="0"/>
        <v>0</v>
      </c>
    </row>
    <row r="22" spans="1:8" s="1" customFormat="1" ht="18" customHeight="1">
      <c r="A22" s="32">
        <v>19</v>
      </c>
      <c r="B22" s="33">
        <f>IF(INDEX('参加者データ（要入力）'!$B$3:$B$102,19,1)="","",INDEX('参加者データ（要入力）'!$B$3:$B$102,19,1))</f>
      </c>
      <c r="C22" s="72"/>
      <c r="D22" s="72"/>
      <c r="E22" s="72"/>
      <c r="F22" s="72">
        <f>IF(OR(INDEX('参加者データ（要入力）'!$J$3:$J$102,19,1)="A",INDEX('参加者データ（要入力）'!$J$3:$J$102,19,1)="B"),10000,"")</f>
      </c>
      <c r="G22" s="72"/>
      <c r="H22" s="39">
        <f t="shared" si="0"/>
        <v>0</v>
      </c>
    </row>
    <row r="23" spans="1:8" s="1" customFormat="1" ht="18" customHeight="1">
      <c r="A23" s="32">
        <v>20</v>
      </c>
      <c r="B23" s="33">
        <f>IF(INDEX('参加者データ（要入力）'!$B$3:$B$102,20,1)="","",INDEX('参加者データ（要入力）'!$B$3:$B$102,20,1))</f>
      </c>
      <c r="C23" s="72"/>
      <c r="D23" s="72"/>
      <c r="E23" s="72"/>
      <c r="F23" s="72">
        <f>IF(OR(INDEX('参加者データ（要入力）'!$J$3:$J$102,20,1)="A",INDEX('参加者データ（要入力）'!$J$3:$J$102,20,1)="B"),10000,"")</f>
      </c>
      <c r="G23" s="72"/>
      <c r="H23" s="39">
        <f t="shared" si="0"/>
        <v>0</v>
      </c>
    </row>
    <row r="24" spans="1:8" s="1" customFormat="1" ht="18" customHeight="1">
      <c r="A24" s="32">
        <v>21</v>
      </c>
      <c r="B24" s="33">
        <f>IF(INDEX('参加者データ（要入力）'!$B$3:$B$102,21,1)="","",INDEX('参加者データ（要入力）'!$B$3:$B$102,21,1))</f>
      </c>
      <c r="C24" s="72"/>
      <c r="D24" s="72"/>
      <c r="E24" s="72"/>
      <c r="F24" s="72">
        <f>IF(OR(INDEX('参加者データ（要入力）'!$J$3:$J$102,21,1)="A",INDEX('参加者データ（要入力）'!$J$3:$J$102,21,1)="B"),10000,"")</f>
      </c>
      <c r="G24" s="72"/>
      <c r="H24" s="39">
        <f t="shared" si="0"/>
        <v>0</v>
      </c>
    </row>
    <row r="25" spans="1:8" s="1" customFormat="1" ht="18" customHeight="1">
      <c r="A25" s="32">
        <v>22</v>
      </c>
      <c r="B25" s="33">
        <f>IF(INDEX('参加者データ（要入力）'!$B$3:$B$102,22,1)="","",INDEX('参加者データ（要入力）'!$B$3:$B$102,22,1))</f>
      </c>
      <c r="C25" s="72"/>
      <c r="D25" s="72"/>
      <c r="E25" s="72"/>
      <c r="F25" s="72">
        <f>IF(OR(INDEX('参加者データ（要入力）'!$J$3:$J$102,22,1)="A",INDEX('参加者データ（要入力）'!$J$3:$J$102,22,1)="B"),10000,"")</f>
      </c>
      <c r="G25" s="72"/>
      <c r="H25" s="39">
        <f t="shared" si="0"/>
        <v>0</v>
      </c>
    </row>
    <row r="26" spans="1:8" s="1" customFormat="1" ht="18" customHeight="1">
      <c r="A26" s="32">
        <v>23</v>
      </c>
      <c r="B26" s="33">
        <f>IF(INDEX('参加者データ（要入力）'!$B$3:$B$102,23,1)="","",INDEX('参加者データ（要入力）'!$B$3:$B$102,23,1))</f>
      </c>
      <c r="C26" s="72"/>
      <c r="D26" s="72"/>
      <c r="E26" s="72"/>
      <c r="F26" s="72">
        <f>IF(OR(INDEX('参加者データ（要入力）'!$J$3:$J$102,23,1)="A",INDEX('参加者データ（要入力）'!$J$3:$J$102,23,1)="B"),10000,"")</f>
      </c>
      <c r="G26" s="72"/>
      <c r="H26" s="39">
        <f t="shared" si="0"/>
        <v>0</v>
      </c>
    </row>
    <row r="27" spans="1:8" s="1" customFormat="1" ht="18" customHeight="1">
      <c r="A27" s="32">
        <v>24</v>
      </c>
      <c r="B27" s="33">
        <f>IF(INDEX('参加者データ（要入力）'!$B$3:$B$102,24,1)="","",INDEX('参加者データ（要入力）'!$B$3:$B$102,24,1))</f>
      </c>
      <c r="C27" s="72"/>
      <c r="D27" s="72"/>
      <c r="E27" s="72"/>
      <c r="F27" s="72">
        <f>IF(OR(INDEX('参加者データ（要入力）'!$J$3:$J$102,24,1)="A",INDEX('参加者データ（要入力）'!$J$3:$J$102,24,1)="B"),10000,"")</f>
      </c>
      <c r="G27" s="72"/>
      <c r="H27" s="39">
        <f t="shared" si="0"/>
        <v>0</v>
      </c>
    </row>
    <row r="28" spans="1:8" s="1" customFormat="1" ht="18" customHeight="1">
      <c r="A28" s="32">
        <v>25</v>
      </c>
      <c r="B28" s="33">
        <f>IF(INDEX('参加者データ（要入力）'!$B$3:$B$102,25,1)="","",INDEX('参加者データ（要入力）'!$B$3:$B$102,25,1))</f>
      </c>
      <c r="C28" s="72"/>
      <c r="D28" s="72"/>
      <c r="E28" s="72"/>
      <c r="F28" s="72">
        <f>IF(OR(INDEX('参加者データ（要入力）'!$J$3:$J$102,25,1)="A",INDEX('参加者データ（要入力）'!$J$3:$J$102,25,1)="B"),10000,"")</f>
      </c>
      <c r="G28" s="72"/>
      <c r="H28" s="39">
        <f t="shared" si="0"/>
        <v>0</v>
      </c>
    </row>
    <row r="29" spans="1:8" s="1" customFormat="1" ht="18" customHeight="1">
      <c r="A29" s="32">
        <v>26</v>
      </c>
      <c r="B29" s="33">
        <f>IF(INDEX('参加者データ（要入力）'!$B$3:$B$102,26,1)="","",INDEX('参加者データ（要入力）'!$B$3:$B$102,26,1))</f>
      </c>
      <c r="C29" s="72"/>
      <c r="D29" s="72"/>
      <c r="E29" s="72"/>
      <c r="F29" s="72">
        <f>IF(OR(INDEX('参加者データ（要入力）'!$J$3:$J$102,26,1)="A",INDEX('参加者データ（要入力）'!$J$3:$J$102,26,1)="B"),10000,"")</f>
      </c>
      <c r="G29" s="72"/>
      <c r="H29" s="39">
        <f t="shared" si="0"/>
        <v>0</v>
      </c>
    </row>
    <row r="30" spans="1:8" s="1" customFormat="1" ht="18" customHeight="1">
      <c r="A30" s="32">
        <v>27</v>
      </c>
      <c r="B30" s="33">
        <f>IF(INDEX('参加者データ（要入力）'!$B$3:$B$102,27,1)="","",INDEX('参加者データ（要入力）'!$B$3:$B$102,27,1))</f>
      </c>
      <c r="C30" s="72"/>
      <c r="D30" s="72"/>
      <c r="E30" s="72"/>
      <c r="F30" s="72">
        <f>IF(OR(INDEX('参加者データ（要入力）'!$J$3:$J$102,27,1)="A",INDEX('参加者データ（要入力）'!$J$3:$J$102,27,1)="B"),10000,"")</f>
      </c>
      <c r="G30" s="72"/>
      <c r="H30" s="39">
        <f t="shared" si="0"/>
        <v>0</v>
      </c>
    </row>
    <row r="31" spans="1:8" s="1" customFormat="1" ht="18" customHeight="1">
      <c r="A31" s="32">
        <v>28</v>
      </c>
      <c r="B31" s="33">
        <f>IF(INDEX('参加者データ（要入力）'!$B$3:$B$102,28,1)="","",INDEX('参加者データ（要入力）'!$B$3:$B$102,28,1))</f>
      </c>
      <c r="C31" s="72"/>
      <c r="D31" s="72"/>
      <c r="E31" s="72"/>
      <c r="F31" s="72">
        <f>IF(OR(INDEX('参加者データ（要入力）'!$J$3:$J$102,28,1)="A",INDEX('参加者データ（要入力）'!$J$3:$J$102,28,1)="B"),10000,"")</f>
      </c>
      <c r="G31" s="72"/>
      <c r="H31" s="39">
        <f t="shared" si="0"/>
        <v>0</v>
      </c>
    </row>
    <row r="32" spans="1:8" s="1" customFormat="1" ht="18" customHeight="1">
      <c r="A32" s="32">
        <v>29</v>
      </c>
      <c r="B32" s="33">
        <f>IF(INDEX('参加者データ（要入力）'!$B$3:$B$102,29,1)="","",INDEX('参加者データ（要入力）'!$B$3:$B$102,29,1))</f>
      </c>
      <c r="C32" s="72"/>
      <c r="D32" s="72"/>
      <c r="E32" s="72"/>
      <c r="F32" s="72">
        <f>IF(OR(INDEX('参加者データ（要入力）'!$J$3:$J$102,29,1)="A",INDEX('参加者データ（要入力）'!$J$3:$J$102,29,1)="B"),10000,"")</f>
      </c>
      <c r="G32" s="72"/>
      <c r="H32" s="39">
        <f t="shared" si="0"/>
        <v>0</v>
      </c>
    </row>
    <row r="33" spans="1:8" s="1" customFormat="1" ht="18" customHeight="1">
      <c r="A33" s="32">
        <v>30</v>
      </c>
      <c r="B33" s="33">
        <f>IF(INDEX('参加者データ（要入力）'!$B$3:$B$102,30,1)="","",INDEX('参加者データ（要入力）'!$B$3:$B$102,30,1))</f>
      </c>
      <c r="C33" s="72"/>
      <c r="D33" s="72"/>
      <c r="E33" s="72"/>
      <c r="F33" s="72">
        <f>IF(OR(INDEX('参加者データ（要入力）'!$J$3:$J$102,30,1)="A",INDEX('参加者データ（要入力）'!$J$3:$J$102,30,1)="B"),10000,"")</f>
      </c>
      <c r="G33" s="72"/>
      <c r="H33" s="39">
        <f t="shared" si="0"/>
        <v>0</v>
      </c>
    </row>
    <row r="34" spans="1:8" s="1" customFormat="1" ht="18" customHeight="1">
      <c r="A34" s="32">
        <v>31</v>
      </c>
      <c r="B34" s="33">
        <f>IF(INDEX('参加者データ（要入力）'!$B$3:$B$102,31,1)="","",INDEX('参加者データ（要入力）'!$B$3:$B$102,31,1))</f>
      </c>
      <c r="C34" s="72"/>
      <c r="D34" s="72"/>
      <c r="E34" s="72"/>
      <c r="F34" s="72">
        <f>IF(OR(INDEX('参加者データ（要入力）'!$J$3:$J$102,31,1)="A",INDEX('参加者データ（要入力）'!$J$3:$J$102,31,1)="B"),10000,"")</f>
      </c>
      <c r="G34" s="72"/>
      <c r="H34" s="39">
        <f t="shared" si="0"/>
        <v>0</v>
      </c>
    </row>
    <row r="35" spans="1:8" s="1" customFormat="1" ht="18" customHeight="1">
      <c r="A35" s="32">
        <v>32</v>
      </c>
      <c r="B35" s="33">
        <f>IF(INDEX('参加者データ（要入力）'!$B$3:$B$102,32,1)="","",INDEX('参加者データ（要入力）'!$B$3:$B$102,32,1))</f>
      </c>
      <c r="C35" s="72"/>
      <c r="D35" s="72"/>
      <c r="E35" s="72"/>
      <c r="F35" s="72">
        <f>IF(OR(INDEX('参加者データ（要入力）'!$J$3:$J$102,32,1)="A",INDEX('参加者データ（要入力）'!$J$3:$J$102,32,1)="B"),10000,"")</f>
      </c>
      <c r="G35" s="72"/>
      <c r="H35" s="39">
        <f t="shared" si="0"/>
        <v>0</v>
      </c>
    </row>
    <row r="36" spans="1:8" s="1" customFormat="1" ht="18" customHeight="1">
      <c r="A36" s="32">
        <v>33</v>
      </c>
      <c r="B36" s="33">
        <f>IF(INDEX('参加者データ（要入力）'!$B$3:$B$102,33,1)="","",INDEX('参加者データ（要入力）'!$B$3:$B$102,33,1))</f>
      </c>
      <c r="C36" s="72"/>
      <c r="D36" s="72"/>
      <c r="E36" s="72"/>
      <c r="F36" s="72">
        <f>IF(OR(INDEX('参加者データ（要入力）'!$J$3:$J$102,33,1)="A",INDEX('参加者データ（要入力）'!$J$3:$J$102,33,1)="B"),10000,"")</f>
      </c>
      <c r="G36" s="72"/>
      <c r="H36" s="39">
        <f t="shared" si="0"/>
        <v>0</v>
      </c>
    </row>
    <row r="37" spans="1:8" s="1" customFormat="1" ht="18" customHeight="1">
      <c r="A37" s="32">
        <v>34</v>
      </c>
      <c r="B37" s="33">
        <f>IF(INDEX('参加者データ（要入力）'!$B$3:$B$102,34,1)="","",INDEX('参加者データ（要入力）'!$B$3:$B$102,34,1))</f>
      </c>
      <c r="C37" s="72"/>
      <c r="D37" s="72"/>
      <c r="E37" s="72"/>
      <c r="F37" s="72">
        <f>IF(OR(INDEX('参加者データ（要入力）'!$J$3:$J$102,34,1)="A",INDEX('参加者データ（要入力）'!$J$3:$J$102,34,1)="B"),10000,"")</f>
      </c>
      <c r="G37" s="72"/>
      <c r="H37" s="39">
        <f t="shared" si="0"/>
        <v>0</v>
      </c>
    </row>
    <row r="38" spans="1:8" s="1" customFormat="1" ht="18" customHeight="1">
      <c r="A38" s="32">
        <v>35</v>
      </c>
      <c r="B38" s="33">
        <f>IF(INDEX('参加者データ（要入力）'!$B$3:$B$102,35,1)="","",INDEX('参加者データ（要入力）'!$B$3:$B$102,35,1))</f>
      </c>
      <c r="C38" s="72"/>
      <c r="D38" s="72"/>
      <c r="E38" s="72"/>
      <c r="F38" s="72">
        <f>IF(OR(INDEX('参加者データ（要入力）'!$J$3:$J$102,35,1)="A",INDEX('参加者データ（要入力）'!$J$3:$J$102,35,1)="B"),10000,"")</f>
      </c>
      <c r="G38" s="72"/>
      <c r="H38" s="39">
        <f t="shared" si="0"/>
        <v>0</v>
      </c>
    </row>
    <row r="39" spans="1:8" s="1" customFormat="1" ht="18" customHeight="1">
      <c r="A39" s="32">
        <v>36</v>
      </c>
      <c r="B39" s="33">
        <f>IF(INDEX('参加者データ（要入力）'!$B$3:$B$102,36,1)="","",INDEX('参加者データ（要入力）'!$B$3:$B$102,36,1))</f>
      </c>
      <c r="C39" s="72"/>
      <c r="D39" s="72"/>
      <c r="E39" s="72"/>
      <c r="F39" s="72">
        <f>IF(OR(INDEX('参加者データ（要入力）'!$J$3:$J$102,36,1)="A",INDEX('参加者データ（要入力）'!$J$3:$J$102,36,1)="B"),10000,"")</f>
      </c>
      <c r="G39" s="72"/>
      <c r="H39" s="39">
        <f t="shared" si="0"/>
        <v>0</v>
      </c>
    </row>
    <row r="40" spans="1:8" s="1" customFormat="1" ht="18" customHeight="1">
      <c r="A40" s="32">
        <v>37</v>
      </c>
      <c r="B40" s="33">
        <f>IF(INDEX('参加者データ（要入力）'!$B$3:$B$102,37,1)="","",INDEX('参加者データ（要入力）'!$B$3:$B$102,37,1))</f>
      </c>
      <c r="C40" s="72"/>
      <c r="D40" s="72"/>
      <c r="E40" s="72"/>
      <c r="F40" s="72">
        <f>IF(OR(INDEX('参加者データ（要入力）'!$J$3:$J$102,37,1)="A",INDEX('参加者データ（要入力）'!$J$3:$J$102,37,1)="B"),10000,"")</f>
      </c>
      <c r="G40" s="72"/>
      <c r="H40" s="39">
        <f t="shared" si="0"/>
        <v>0</v>
      </c>
    </row>
    <row r="41" spans="1:8" s="1" customFormat="1" ht="18" customHeight="1">
      <c r="A41" s="32">
        <v>38</v>
      </c>
      <c r="B41" s="33">
        <f>IF(INDEX('参加者データ（要入力）'!$B$3:$B$102,38,1)="","",INDEX('参加者データ（要入力）'!$B$3:$B$102,38,1))</f>
      </c>
      <c r="C41" s="72"/>
      <c r="D41" s="72"/>
      <c r="E41" s="72"/>
      <c r="F41" s="72">
        <f>IF(OR(INDEX('参加者データ（要入力）'!$J$3:$J$102,38,1)="A",INDEX('参加者データ（要入力）'!$J$3:$J$102,38,1)="B"),10000,"")</f>
      </c>
      <c r="G41" s="72"/>
      <c r="H41" s="39">
        <f t="shared" si="0"/>
        <v>0</v>
      </c>
    </row>
    <row r="42" spans="1:8" s="1" customFormat="1" ht="18" customHeight="1">
      <c r="A42" s="32">
        <v>39</v>
      </c>
      <c r="B42" s="33">
        <f>IF(INDEX('参加者データ（要入力）'!$B$3:$B$102,39,1)="","",INDEX('参加者データ（要入力）'!$B$3:$B$102,39,1))</f>
      </c>
      <c r="C42" s="72"/>
      <c r="D42" s="72"/>
      <c r="E42" s="72"/>
      <c r="F42" s="72">
        <f>IF(OR(INDEX('参加者データ（要入力）'!$J$3:$J$102,39,1)="A",INDEX('参加者データ（要入力）'!$J$3:$J$102,39,1)="B"),10000,"")</f>
      </c>
      <c r="G42" s="72"/>
      <c r="H42" s="39">
        <f t="shared" si="0"/>
        <v>0</v>
      </c>
    </row>
    <row r="43" spans="1:8" s="1" customFormat="1" ht="18" customHeight="1">
      <c r="A43" s="32">
        <v>40</v>
      </c>
      <c r="B43" s="33">
        <f>IF(INDEX('参加者データ（要入力）'!$B$3:$B$102,40,1)="","",INDEX('参加者データ（要入力）'!$B$3:$B$102,40,1))</f>
      </c>
      <c r="C43" s="72"/>
      <c r="D43" s="72"/>
      <c r="E43" s="72"/>
      <c r="F43" s="72">
        <f>IF(OR(INDEX('参加者データ（要入力）'!$J$3:$J$102,40,1)="A",INDEX('参加者データ（要入力）'!$J$3:$J$102,40,1)="B"),10000,"")</f>
      </c>
      <c r="G43" s="72"/>
      <c r="H43" s="39">
        <f t="shared" si="0"/>
        <v>0</v>
      </c>
    </row>
    <row r="44" spans="1:8" s="1" customFormat="1" ht="18" customHeight="1">
      <c r="A44" s="32">
        <v>41</v>
      </c>
      <c r="B44" s="33">
        <f>IF(INDEX('参加者データ（要入力）'!$B$3:$B$102,41,1)="","",INDEX('参加者データ（要入力）'!$B$3:$B$102,41,1))</f>
      </c>
      <c r="C44" s="72"/>
      <c r="D44" s="72"/>
      <c r="E44" s="72"/>
      <c r="F44" s="72">
        <f>IF(OR(INDEX('参加者データ（要入力）'!$J$3:$J$102,41,1)="A",INDEX('参加者データ（要入力）'!$J$3:$J$102,41,1)="B"),10000,"")</f>
      </c>
      <c r="G44" s="72"/>
      <c r="H44" s="39">
        <f t="shared" si="0"/>
        <v>0</v>
      </c>
    </row>
    <row r="45" spans="1:8" s="1" customFormat="1" ht="18" customHeight="1">
      <c r="A45" s="32">
        <v>42</v>
      </c>
      <c r="B45" s="33">
        <f>IF(INDEX('参加者データ（要入力）'!$B$3:$B$102,42,1)="","",INDEX('参加者データ（要入力）'!$B$3:$B$102,42,1))</f>
      </c>
      <c r="C45" s="72"/>
      <c r="D45" s="72"/>
      <c r="E45" s="72"/>
      <c r="F45" s="72">
        <f>IF(OR(INDEX('参加者データ（要入力）'!$J$3:$J$102,42,1)="A",INDEX('参加者データ（要入力）'!$J$3:$J$102,42,1)="B"),10000,"")</f>
      </c>
      <c r="G45" s="72"/>
      <c r="H45" s="39">
        <f t="shared" si="0"/>
        <v>0</v>
      </c>
    </row>
    <row r="46" spans="1:8" s="1" customFormat="1" ht="18" customHeight="1">
      <c r="A46" s="32">
        <v>43</v>
      </c>
      <c r="B46" s="33">
        <f>IF(INDEX('参加者データ（要入力）'!$B$3:$B$102,43,1)="","",INDEX('参加者データ（要入力）'!$B$3:$B$102,43,1))</f>
      </c>
      <c r="C46" s="72"/>
      <c r="D46" s="72"/>
      <c r="E46" s="72"/>
      <c r="F46" s="72">
        <f>IF(OR(INDEX('参加者データ（要入力）'!$J$3:$J$102,43,1)="A",INDEX('参加者データ（要入力）'!$J$3:$J$102,43,1)="B"),10000,"")</f>
      </c>
      <c r="G46" s="72"/>
      <c r="H46" s="39">
        <f t="shared" si="0"/>
        <v>0</v>
      </c>
    </row>
    <row r="47" spans="1:8" s="1" customFormat="1" ht="18" customHeight="1">
      <c r="A47" s="32">
        <v>44</v>
      </c>
      <c r="B47" s="33">
        <f>IF(INDEX('参加者データ（要入力）'!$B$3:$B$102,44,1)="","",INDEX('参加者データ（要入力）'!$B$3:$B$102,44,1))</f>
      </c>
      <c r="C47" s="72"/>
      <c r="D47" s="72"/>
      <c r="E47" s="72"/>
      <c r="F47" s="72">
        <f>IF(OR(INDEX('参加者データ（要入力）'!$J$3:$J$102,44,1)="A",INDEX('参加者データ（要入力）'!$J$3:$J$102,44,1)="B"),10000,"")</f>
      </c>
      <c r="G47" s="72"/>
      <c r="H47" s="39">
        <f t="shared" si="0"/>
        <v>0</v>
      </c>
    </row>
    <row r="48" spans="1:8" s="1" customFormat="1" ht="18" customHeight="1">
      <c r="A48" s="32">
        <v>45</v>
      </c>
      <c r="B48" s="33">
        <f>IF(INDEX('参加者データ（要入力）'!$B$3:$B$102,45,1)="","",INDEX('参加者データ（要入力）'!$B$3:$B$102,45,1))</f>
      </c>
      <c r="C48" s="72"/>
      <c r="D48" s="72"/>
      <c r="E48" s="72"/>
      <c r="F48" s="72">
        <f>IF(OR(INDEX('参加者データ（要入力）'!$J$3:$J$102,45,1)="A",INDEX('参加者データ（要入力）'!$J$3:$J$102,45,1)="B"),10000,"")</f>
      </c>
      <c r="G48" s="72"/>
      <c r="H48" s="39">
        <f t="shared" si="0"/>
        <v>0</v>
      </c>
    </row>
    <row r="49" spans="1:8" s="1" customFormat="1" ht="18" customHeight="1">
      <c r="A49" s="32">
        <v>46</v>
      </c>
      <c r="B49" s="33">
        <f>IF(INDEX('参加者データ（要入力）'!$B$3:$B$102,46,1)="","",INDEX('参加者データ（要入力）'!$B$3:$B$102,46,1))</f>
      </c>
      <c r="C49" s="72"/>
      <c r="D49" s="72"/>
      <c r="E49" s="72"/>
      <c r="F49" s="72">
        <f>IF(OR(INDEX('参加者データ（要入力）'!$J$3:$J$102,46,1)="A",INDEX('参加者データ（要入力）'!$J$3:$J$102,46,1)="B"),10000,"")</f>
      </c>
      <c r="G49" s="72"/>
      <c r="H49" s="39">
        <f t="shared" si="0"/>
        <v>0</v>
      </c>
    </row>
    <row r="50" spans="1:8" s="1" customFormat="1" ht="18" customHeight="1">
      <c r="A50" s="32">
        <v>47</v>
      </c>
      <c r="B50" s="33">
        <f>IF(INDEX('参加者データ（要入力）'!$B$3:$B$102,47,1)="","",INDEX('参加者データ（要入力）'!$B$3:$B$102,47,1))</f>
      </c>
      <c r="C50" s="72"/>
      <c r="D50" s="72"/>
      <c r="E50" s="72"/>
      <c r="F50" s="72">
        <f>IF(OR(INDEX('参加者データ（要入力）'!$J$3:$J$102,47,1)="A",INDEX('参加者データ（要入力）'!$J$3:$J$102,47,1)="B"),10000,"")</f>
      </c>
      <c r="G50" s="72"/>
      <c r="H50" s="39">
        <f t="shared" si="0"/>
        <v>0</v>
      </c>
    </row>
    <row r="51" spans="1:8" s="1" customFormat="1" ht="18" customHeight="1">
      <c r="A51" s="32">
        <v>48</v>
      </c>
      <c r="B51" s="33">
        <f>IF(INDEX('参加者データ（要入力）'!$B$3:$B$102,48,1)="","",INDEX('参加者データ（要入力）'!$B$3:$B$102,48,1))</f>
      </c>
      <c r="C51" s="72"/>
      <c r="D51" s="72"/>
      <c r="E51" s="72"/>
      <c r="F51" s="72">
        <f>IF(OR(INDEX('参加者データ（要入力）'!$J$3:$J$102,48,1)="A",INDEX('参加者データ（要入力）'!$J$3:$J$102,48,1)="B"),10000,"")</f>
      </c>
      <c r="G51" s="72"/>
      <c r="H51" s="39">
        <f t="shared" si="0"/>
        <v>0</v>
      </c>
    </row>
    <row r="52" spans="1:8" s="1" customFormat="1" ht="18" customHeight="1">
      <c r="A52" s="32">
        <v>49</v>
      </c>
      <c r="B52" s="33">
        <f>IF(INDEX('参加者データ（要入力）'!$B$3:$B$102,49,1)="","",INDEX('参加者データ（要入力）'!$B$3:$B$102,49,1))</f>
      </c>
      <c r="C52" s="72"/>
      <c r="D52" s="72"/>
      <c r="E52" s="72"/>
      <c r="F52" s="72">
        <f>IF(OR(INDEX('参加者データ（要入力）'!$J$3:$J$102,49,1)="A",INDEX('参加者データ（要入力）'!$J$3:$J$102,49,1)="B"),10000,"")</f>
      </c>
      <c r="G52" s="72"/>
      <c r="H52" s="39">
        <f t="shared" si="0"/>
        <v>0</v>
      </c>
    </row>
    <row r="53" spans="1:8" s="1" customFormat="1" ht="18" customHeight="1">
      <c r="A53" s="32">
        <v>50</v>
      </c>
      <c r="B53" s="33">
        <f>IF(INDEX('参加者データ（要入力）'!$B$3:$B$102,50,1)="","",INDEX('参加者データ（要入力）'!$B$3:$B$102,50,1))</f>
      </c>
      <c r="C53" s="72"/>
      <c r="D53" s="72"/>
      <c r="E53" s="72"/>
      <c r="F53" s="72">
        <f>IF(OR(INDEX('参加者データ（要入力）'!$J$3:$J$102,50,1)="A",INDEX('参加者データ（要入力）'!$J$3:$J$102,50,1)="B"),10000,"")</f>
      </c>
      <c r="G53" s="72"/>
      <c r="H53" s="39">
        <f t="shared" si="0"/>
        <v>0</v>
      </c>
    </row>
    <row r="54" spans="1:8" s="1" customFormat="1" ht="18" customHeight="1">
      <c r="A54" s="32">
        <v>51</v>
      </c>
      <c r="B54" s="33">
        <f>IF(INDEX('参加者データ（要入力）'!$B$3:$B$102,51,1)="","",INDEX('参加者データ（要入力）'!$B$3:$B$102,51,1))</f>
      </c>
      <c r="C54" s="72"/>
      <c r="D54" s="72"/>
      <c r="E54" s="72"/>
      <c r="F54" s="72">
        <f>IF(OR(INDEX('参加者データ（要入力）'!$J$3:$J$102,51,1)="A",INDEX('参加者データ（要入力）'!$J$3:$J$102,51,1)="B"),10000,"")</f>
      </c>
      <c r="G54" s="72"/>
      <c r="H54" s="39">
        <f t="shared" si="0"/>
        <v>0</v>
      </c>
    </row>
    <row r="55" spans="1:8" s="1" customFormat="1" ht="18" customHeight="1">
      <c r="A55" s="32">
        <v>52</v>
      </c>
      <c r="B55" s="33">
        <f>IF(INDEX('参加者データ（要入力）'!$B$3:$B$102,52,1)="","",INDEX('参加者データ（要入力）'!$B$3:$B$102,52,1))</f>
      </c>
      <c r="C55" s="72"/>
      <c r="D55" s="72"/>
      <c r="E55" s="72"/>
      <c r="F55" s="72">
        <f>IF(OR(INDEX('参加者データ（要入力）'!$J$3:$J$102,52,1)="A",INDEX('参加者データ（要入力）'!$J$3:$J$102,52,1)="B"),10000,"")</f>
      </c>
      <c r="G55" s="72"/>
      <c r="H55" s="39">
        <f t="shared" si="0"/>
        <v>0</v>
      </c>
    </row>
    <row r="56" spans="1:8" s="1" customFormat="1" ht="18" customHeight="1">
      <c r="A56" s="32">
        <v>53</v>
      </c>
      <c r="B56" s="33">
        <f>IF(INDEX('参加者データ（要入力）'!$B$3:$B$102,53,1)="","",INDEX('参加者データ（要入力）'!$B$3:$B$102,53,1))</f>
      </c>
      <c r="C56" s="72"/>
      <c r="D56" s="72"/>
      <c r="E56" s="72"/>
      <c r="F56" s="72">
        <f>IF(OR(INDEX('参加者データ（要入力）'!$J$3:$J$102,53,1)="A",INDEX('参加者データ（要入力）'!$J$3:$J$102,53,1)="B"),10000,"")</f>
      </c>
      <c r="G56" s="72"/>
      <c r="H56" s="39">
        <f t="shared" si="0"/>
        <v>0</v>
      </c>
    </row>
    <row r="57" spans="1:8" s="1" customFormat="1" ht="18" customHeight="1">
      <c r="A57" s="32">
        <v>54</v>
      </c>
      <c r="B57" s="33">
        <f>IF(INDEX('参加者データ（要入力）'!$B$3:$B$102,54,1)="","",INDEX('参加者データ（要入力）'!$B$3:$B$102,54,1))</f>
      </c>
      <c r="C57" s="72"/>
      <c r="D57" s="72"/>
      <c r="E57" s="72"/>
      <c r="F57" s="72">
        <f>IF(OR(INDEX('参加者データ（要入力）'!$J$3:$J$102,54,1)="A",INDEX('参加者データ（要入力）'!$J$3:$J$102,54,1)="B"),10000,"")</f>
      </c>
      <c r="G57" s="72"/>
      <c r="H57" s="39">
        <f t="shared" si="0"/>
        <v>0</v>
      </c>
    </row>
    <row r="58" spans="1:8" s="1" customFormat="1" ht="18" customHeight="1">
      <c r="A58" s="32">
        <v>55</v>
      </c>
      <c r="B58" s="33">
        <f>IF(INDEX('参加者データ（要入力）'!$B$3:$B$102,55,1)="","",INDEX('参加者データ（要入力）'!$B$3:$B$102,55,1))</f>
      </c>
      <c r="C58" s="72"/>
      <c r="D58" s="72"/>
      <c r="E58" s="72"/>
      <c r="F58" s="72">
        <f>IF(OR(INDEX('参加者データ（要入力）'!$J$3:$J$102,55,1)="A",INDEX('参加者データ（要入力）'!$J$3:$J$102,55,1)="B"),10000,"")</f>
      </c>
      <c r="G58" s="72"/>
      <c r="H58" s="39">
        <f t="shared" si="0"/>
        <v>0</v>
      </c>
    </row>
    <row r="59" spans="1:8" s="1" customFormat="1" ht="18" customHeight="1">
      <c r="A59" s="32">
        <v>56</v>
      </c>
      <c r="B59" s="33">
        <f>IF(INDEX('参加者データ（要入力）'!$B$3:$B$102,56,1)="","",INDEX('参加者データ（要入力）'!$B$3:$B$102,56,1))</f>
      </c>
      <c r="C59" s="72"/>
      <c r="D59" s="72"/>
      <c r="E59" s="72"/>
      <c r="F59" s="72">
        <f>IF(OR(INDEX('参加者データ（要入力）'!$J$3:$J$102,56,1)="A",INDEX('参加者データ（要入力）'!$J$3:$J$102,56,1)="B"),10000,"")</f>
      </c>
      <c r="G59" s="72"/>
      <c r="H59" s="39">
        <f t="shared" si="0"/>
        <v>0</v>
      </c>
    </row>
    <row r="60" spans="1:8" s="1" customFormat="1" ht="18" customHeight="1">
      <c r="A60" s="32">
        <v>57</v>
      </c>
      <c r="B60" s="33">
        <f>IF(INDEX('参加者データ（要入力）'!$B$3:$B$102,57,1)="","",INDEX('参加者データ（要入力）'!$B$3:$B$102,57,1))</f>
      </c>
      <c r="C60" s="72"/>
      <c r="D60" s="72"/>
      <c r="E60" s="72"/>
      <c r="F60" s="72">
        <f>IF(OR(INDEX('参加者データ（要入力）'!$J$3:$J$102,57,1)="A",INDEX('参加者データ（要入力）'!$J$3:$J$102,57,1)="B"),10000,"")</f>
      </c>
      <c r="G60" s="72"/>
      <c r="H60" s="39">
        <f t="shared" si="0"/>
        <v>0</v>
      </c>
    </row>
    <row r="61" spans="1:8" s="1" customFormat="1" ht="18" customHeight="1">
      <c r="A61" s="32">
        <v>58</v>
      </c>
      <c r="B61" s="33">
        <f>IF(INDEX('参加者データ（要入力）'!$B$3:$B$102,58,1)="","",INDEX('参加者データ（要入力）'!$B$3:$B$102,58,1))</f>
      </c>
      <c r="C61" s="72"/>
      <c r="D61" s="72"/>
      <c r="E61" s="72"/>
      <c r="F61" s="72">
        <f>IF(OR(INDEX('参加者データ（要入力）'!$J$3:$J$102,58,1)="A",INDEX('参加者データ（要入力）'!$J$3:$J$102,58,1)="B"),10000,"")</f>
      </c>
      <c r="G61" s="72"/>
      <c r="H61" s="39">
        <f t="shared" si="0"/>
        <v>0</v>
      </c>
    </row>
    <row r="62" spans="1:8" s="1" customFormat="1" ht="18" customHeight="1">
      <c r="A62" s="32">
        <v>59</v>
      </c>
      <c r="B62" s="33">
        <f>IF(INDEX('参加者データ（要入力）'!$B$3:$B$102,59,1)="","",INDEX('参加者データ（要入力）'!$B$3:$B$102,59,1))</f>
      </c>
      <c r="C62" s="72"/>
      <c r="D62" s="72"/>
      <c r="E62" s="72"/>
      <c r="F62" s="72">
        <f>IF(OR(INDEX('参加者データ（要入力）'!$J$3:$J$102,59,1)="A",INDEX('参加者データ（要入力）'!$J$3:$J$102,59,1)="B"),10000,"")</f>
      </c>
      <c r="G62" s="72"/>
      <c r="H62" s="39">
        <f t="shared" si="0"/>
        <v>0</v>
      </c>
    </row>
    <row r="63" spans="1:8" s="1" customFormat="1" ht="18" customHeight="1">
      <c r="A63" s="32">
        <v>60</v>
      </c>
      <c r="B63" s="33">
        <f>IF(INDEX('参加者データ（要入力）'!$B$3:$B$102,60,1)="","",INDEX('参加者データ（要入力）'!$B$3:$B$102,60,1))</f>
      </c>
      <c r="C63" s="72"/>
      <c r="D63" s="72"/>
      <c r="E63" s="72"/>
      <c r="F63" s="72">
        <f>IF(OR(INDEX('参加者データ（要入力）'!$J$3:$J$102,60,1)="A",INDEX('参加者データ（要入力）'!$J$3:$J$102,60,1)="B"),10000,"")</f>
      </c>
      <c r="G63" s="72"/>
      <c r="H63" s="39">
        <f t="shared" si="0"/>
        <v>0</v>
      </c>
    </row>
    <row r="64" spans="1:8" s="1" customFormat="1" ht="18" customHeight="1">
      <c r="A64" s="32">
        <v>61</v>
      </c>
      <c r="B64" s="33">
        <f>IF(INDEX('参加者データ（要入力）'!$B$3:$B$102,61,1)="","",INDEX('参加者データ（要入力）'!$B$3:$B$102,61,1))</f>
      </c>
      <c r="C64" s="72"/>
      <c r="D64" s="72"/>
      <c r="E64" s="72"/>
      <c r="F64" s="72">
        <f>IF(OR(INDEX('参加者データ（要入力）'!$J$3:$J$102,61,1)="A",INDEX('参加者データ（要入力）'!$J$3:$J$102,61,1)="B"),10000,"")</f>
      </c>
      <c r="G64" s="72"/>
      <c r="H64" s="39">
        <f t="shared" si="0"/>
        <v>0</v>
      </c>
    </row>
    <row r="65" spans="1:8" s="1" customFormat="1" ht="18" customHeight="1">
      <c r="A65" s="32">
        <v>62</v>
      </c>
      <c r="B65" s="33">
        <f>IF(INDEX('参加者データ（要入力）'!$B$3:$B$102,62,1)="","",INDEX('参加者データ（要入力）'!$B$3:$B$102,62,1))</f>
      </c>
      <c r="C65" s="72"/>
      <c r="D65" s="72"/>
      <c r="E65" s="72"/>
      <c r="F65" s="72">
        <f>IF(OR(INDEX('参加者データ（要入力）'!$J$3:$J$102,62,1)="A",INDEX('参加者データ（要入力）'!$J$3:$J$102,62,1)="B"),10000,"")</f>
      </c>
      <c r="G65" s="72"/>
      <c r="H65" s="39">
        <f t="shared" si="0"/>
        <v>0</v>
      </c>
    </row>
    <row r="66" spans="1:8" s="1" customFormat="1" ht="18" customHeight="1">
      <c r="A66" s="32">
        <v>63</v>
      </c>
      <c r="B66" s="33">
        <f>IF(INDEX('参加者データ（要入力）'!$B$3:$B$102,63,1)="","",INDEX('参加者データ（要入力）'!$B$3:$B$102,63,1))</f>
      </c>
      <c r="C66" s="72"/>
      <c r="D66" s="72"/>
      <c r="E66" s="72"/>
      <c r="F66" s="72">
        <f>IF(OR(INDEX('参加者データ（要入力）'!$J$3:$J$102,63,1)="A",INDEX('参加者データ（要入力）'!$J$3:$J$102,63,1)="B"),10000,"")</f>
      </c>
      <c r="G66" s="72"/>
      <c r="H66" s="39">
        <f t="shared" si="0"/>
        <v>0</v>
      </c>
    </row>
    <row r="67" spans="1:8" s="1" customFormat="1" ht="18" customHeight="1">
      <c r="A67" s="32">
        <v>64</v>
      </c>
      <c r="B67" s="33">
        <f>IF(INDEX('参加者データ（要入力）'!$B$3:$B$102,64,1)="","",INDEX('参加者データ（要入力）'!$B$3:$B$102,64,1))</f>
      </c>
      <c r="C67" s="72"/>
      <c r="D67" s="72"/>
      <c r="E67" s="72"/>
      <c r="F67" s="72">
        <f>IF(OR(INDEX('参加者データ（要入力）'!$J$3:$J$102,64,1)="A",INDEX('参加者データ（要入力）'!$J$3:$J$102,64,1)="B"),10000,"")</f>
      </c>
      <c r="G67" s="72"/>
      <c r="H67" s="39">
        <f t="shared" si="0"/>
        <v>0</v>
      </c>
    </row>
    <row r="68" spans="1:8" s="1" customFormat="1" ht="18" customHeight="1">
      <c r="A68" s="32">
        <v>65</v>
      </c>
      <c r="B68" s="33">
        <f>IF(INDEX('参加者データ（要入力）'!$B$3:$B$102,65,1)="","",INDEX('参加者データ（要入力）'!$B$3:$B$102,65,1))</f>
      </c>
      <c r="C68" s="72"/>
      <c r="D68" s="72"/>
      <c r="E68" s="72"/>
      <c r="F68" s="72">
        <f>IF(OR(INDEX('参加者データ（要入力）'!$J$3:$J$102,65,1)="A",INDEX('参加者データ（要入力）'!$J$3:$J$102,65,1)="B"),10000,"")</f>
      </c>
      <c r="G68" s="72"/>
      <c r="H68" s="39">
        <f t="shared" si="0"/>
        <v>0</v>
      </c>
    </row>
    <row r="69" spans="1:8" s="1" customFormat="1" ht="18" customHeight="1">
      <c r="A69" s="32">
        <v>66</v>
      </c>
      <c r="B69" s="33">
        <f>IF(INDEX('参加者データ（要入力）'!$B$3:$B$102,66,1)="","",INDEX('参加者データ（要入力）'!$B$3:$B$102,66,1))</f>
      </c>
      <c r="C69" s="72"/>
      <c r="D69" s="72"/>
      <c r="E69" s="72"/>
      <c r="F69" s="72">
        <f>IF(OR(INDEX('参加者データ（要入力）'!$J$3:$J$102,66,1)="A",INDEX('参加者データ（要入力）'!$J$3:$J$102,66,1)="B"),10000,"")</f>
      </c>
      <c r="G69" s="72"/>
      <c r="H69" s="39">
        <f t="shared" si="0"/>
        <v>0</v>
      </c>
    </row>
    <row r="70" spans="1:8" s="1" customFormat="1" ht="18" customHeight="1">
      <c r="A70" s="32">
        <v>67</v>
      </c>
      <c r="B70" s="33">
        <f>IF(INDEX('参加者データ（要入力）'!$B$3:$B$102,67,1)="","",INDEX('参加者データ（要入力）'!$B$3:$B$102,67,1))</f>
      </c>
      <c r="C70" s="72"/>
      <c r="D70" s="72"/>
      <c r="E70" s="72"/>
      <c r="F70" s="72">
        <f>IF(OR(INDEX('参加者データ（要入力）'!$J$3:$J$102,67,1)="A",INDEX('参加者データ（要入力）'!$J$3:$J$102,67,1)="B"),10000,"")</f>
      </c>
      <c r="G70" s="72"/>
      <c r="H70" s="39">
        <f aca="true" t="shared" si="1" ref="H70:H102">SUM(C70:G70)</f>
        <v>0</v>
      </c>
    </row>
    <row r="71" spans="1:8" s="1" customFormat="1" ht="18" customHeight="1">
      <c r="A71" s="32">
        <v>68</v>
      </c>
      <c r="B71" s="33">
        <f>IF(INDEX('参加者データ（要入力）'!$B$3:$B$102,68,1)="","",INDEX('参加者データ（要入力）'!$B$3:$B$102,68,1))</f>
      </c>
      <c r="C71" s="72"/>
      <c r="D71" s="72"/>
      <c r="E71" s="72"/>
      <c r="F71" s="72">
        <f>IF(OR(INDEX('参加者データ（要入力）'!$J$3:$J$102,68,1)="A",INDEX('参加者データ（要入力）'!$J$3:$J$102,68,1)="B"),10000,"")</f>
      </c>
      <c r="G71" s="72"/>
      <c r="H71" s="39">
        <f t="shared" si="1"/>
        <v>0</v>
      </c>
    </row>
    <row r="72" spans="1:8" s="1" customFormat="1" ht="18" customHeight="1">
      <c r="A72" s="32">
        <v>69</v>
      </c>
      <c r="B72" s="33">
        <f>IF(INDEX('参加者データ（要入力）'!$B$3:$B$102,69,1)="","",INDEX('参加者データ（要入力）'!$B$3:$B$102,69,1))</f>
      </c>
      <c r="C72" s="72"/>
      <c r="D72" s="72"/>
      <c r="E72" s="72"/>
      <c r="F72" s="72">
        <f>IF(OR(INDEX('参加者データ（要入力）'!$J$3:$J$102,69,1)="A",INDEX('参加者データ（要入力）'!$J$3:$J$102,69,1)="B"),10000,"")</f>
      </c>
      <c r="G72" s="72"/>
      <c r="H72" s="39">
        <f t="shared" si="1"/>
        <v>0</v>
      </c>
    </row>
    <row r="73" spans="1:8" s="1" customFormat="1" ht="18" customHeight="1">
      <c r="A73" s="32">
        <v>70</v>
      </c>
      <c r="B73" s="33">
        <f>IF(INDEX('参加者データ（要入力）'!$B$3:$B$102,70,1)="","",INDEX('参加者データ（要入力）'!$B$3:$B$102,70,1))</f>
      </c>
      <c r="C73" s="72"/>
      <c r="D73" s="72"/>
      <c r="E73" s="72"/>
      <c r="F73" s="72">
        <f>IF(OR(INDEX('参加者データ（要入力）'!$J$3:$J$102,70,1)="A",INDEX('参加者データ（要入力）'!$J$3:$J$102,70,1)="B"),10000,"")</f>
      </c>
      <c r="G73" s="72"/>
      <c r="H73" s="39">
        <f t="shared" si="1"/>
        <v>0</v>
      </c>
    </row>
    <row r="74" spans="1:8" s="1" customFormat="1" ht="18" customHeight="1">
      <c r="A74" s="32">
        <v>71</v>
      </c>
      <c r="B74" s="33">
        <f>IF(INDEX('参加者データ（要入力）'!$B$3:$B$102,71,1)="","",INDEX('参加者データ（要入力）'!$B$3:$B$102,71,1))</f>
      </c>
      <c r="C74" s="72"/>
      <c r="D74" s="72"/>
      <c r="E74" s="72"/>
      <c r="F74" s="72">
        <f>IF(OR(INDEX('参加者データ（要入力）'!$J$3:$J$102,71,1)="A",INDEX('参加者データ（要入力）'!$J$3:$J$102,71,1)="B"),10000,"")</f>
      </c>
      <c r="G74" s="72"/>
      <c r="H74" s="39">
        <f t="shared" si="1"/>
        <v>0</v>
      </c>
    </row>
    <row r="75" spans="1:8" s="1" customFormat="1" ht="18" customHeight="1">
      <c r="A75" s="32">
        <v>72</v>
      </c>
      <c r="B75" s="33">
        <f>IF(INDEX('参加者データ（要入力）'!$B$3:$B$102,72,1)="","",INDEX('参加者データ（要入力）'!$B$3:$B$102,72,1))</f>
      </c>
      <c r="C75" s="72"/>
      <c r="D75" s="72"/>
      <c r="E75" s="72"/>
      <c r="F75" s="72">
        <f>IF(OR(INDEX('参加者データ（要入力）'!$J$3:$J$102,72,1)="A",INDEX('参加者データ（要入力）'!$J$3:$J$102,72,1)="B"),10000,"")</f>
      </c>
      <c r="G75" s="72"/>
      <c r="H75" s="39">
        <f t="shared" si="1"/>
        <v>0</v>
      </c>
    </row>
    <row r="76" spans="1:8" s="1" customFormat="1" ht="18" customHeight="1">
      <c r="A76" s="32">
        <v>73</v>
      </c>
      <c r="B76" s="33">
        <f>IF(INDEX('参加者データ（要入力）'!$B$3:$B$102,73,1)="","",INDEX('参加者データ（要入力）'!$B$3:$B$102,73,1))</f>
      </c>
      <c r="C76" s="72"/>
      <c r="D76" s="72"/>
      <c r="E76" s="72"/>
      <c r="F76" s="72">
        <f>IF(OR(INDEX('参加者データ（要入力）'!$J$3:$J$102,73,1)="A",INDEX('参加者データ（要入力）'!$J$3:$J$102,73,1)="B"),10000,"")</f>
      </c>
      <c r="G76" s="72"/>
      <c r="H76" s="39">
        <f t="shared" si="1"/>
        <v>0</v>
      </c>
    </row>
    <row r="77" spans="1:8" s="1" customFormat="1" ht="18" customHeight="1">
      <c r="A77" s="32">
        <v>74</v>
      </c>
      <c r="B77" s="33">
        <f>IF(INDEX('参加者データ（要入力）'!$B$3:$B$102,74,1)="","",INDEX('参加者データ（要入力）'!$B$3:$B$102,74,1))</f>
      </c>
      <c r="C77" s="72"/>
      <c r="D77" s="72"/>
      <c r="E77" s="72"/>
      <c r="F77" s="72">
        <f>IF(OR(INDEX('参加者データ（要入力）'!$J$3:$J$102,74,1)="A",INDEX('参加者データ（要入力）'!$J$3:$J$102,74,1)="B"),10000,"")</f>
      </c>
      <c r="G77" s="72"/>
      <c r="H77" s="39">
        <f t="shared" si="1"/>
        <v>0</v>
      </c>
    </row>
    <row r="78" spans="1:8" s="1" customFormat="1" ht="18" customHeight="1">
      <c r="A78" s="32">
        <v>75</v>
      </c>
      <c r="B78" s="33">
        <f>IF(INDEX('参加者データ（要入力）'!$B$3:$B$102,75,1)="","",INDEX('参加者データ（要入力）'!$B$3:$B$102,75,1))</f>
      </c>
      <c r="C78" s="72"/>
      <c r="D78" s="72"/>
      <c r="E78" s="72"/>
      <c r="F78" s="72">
        <f>IF(OR(INDEX('参加者データ（要入力）'!$J$3:$J$102,75,1)="A",INDEX('参加者データ（要入力）'!$J$3:$J$102,75,1)="B"),10000,"")</f>
      </c>
      <c r="G78" s="72"/>
      <c r="H78" s="39">
        <f t="shared" si="1"/>
        <v>0</v>
      </c>
    </row>
    <row r="79" spans="1:8" s="1" customFormat="1" ht="18" customHeight="1">
      <c r="A79" s="32">
        <v>76</v>
      </c>
      <c r="B79" s="33">
        <f>IF(INDEX('参加者データ（要入力）'!$B$3:$B$102,76,1)="","",INDEX('参加者データ（要入力）'!$B$3:$B$102,76,1))</f>
      </c>
      <c r="C79" s="72"/>
      <c r="D79" s="72"/>
      <c r="E79" s="72"/>
      <c r="F79" s="72">
        <f>IF(OR(INDEX('参加者データ（要入力）'!$J$3:$J$102,76,1)="A",INDEX('参加者データ（要入力）'!$J$3:$J$102,76,1)="B"),10000,"")</f>
      </c>
      <c r="G79" s="72"/>
      <c r="H79" s="39">
        <f t="shared" si="1"/>
        <v>0</v>
      </c>
    </row>
    <row r="80" spans="1:8" s="1" customFormat="1" ht="18" customHeight="1">
      <c r="A80" s="32">
        <v>77</v>
      </c>
      <c r="B80" s="33">
        <f>IF(INDEX('参加者データ（要入力）'!$B$3:$B$102,77,1)="","",INDEX('参加者データ（要入力）'!$B$3:$B$102,77,1))</f>
      </c>
      <c r="C80" s="72"/>
      <c r="D80" s="72"/>
      <c r="E80" s="72"/>
      <c r="F80" s="72">
        <f>IF(OR(INDEX('参加者データ（要入力）'!$J$3:$J$102,77,1)="A",INDEX('参加者データ（要入力）'!$J$3:$J$102,77,1)="B"),10000,"")</f>
      </c>
      <c r="G80" s="72"/>
      <c r="H80" s="39">
        <f t="shared" si="1"/>
        <v>0</v>
      </c>
    </row>
    <row r="81" spans="1:8" s="1" customFormat="1" ht="18" customHeight="1">
      <c r="A81" s="32">
        <v>78</v>
      </c>
      <c r="B81" s="33">
        <f>IF(INDEX('参加者データ（要入力）'!$B$3:$B$102,78,1)="","",INDEX('参加者データ（要入力）'!$B$3:$B$102,78,1))</f>
      </c>
      <c r="C81" s="72"/>
      <c r="D81" s="72"/>
      <c r="E81" s="72"/>
      <c r="F81" s="72">
        <f>IF(OR(INDEX('参加者データ（要入力）'!$J$3:$J$102,78,1)="A",INDEX('参加者データ（要入力）'!$J$3:$J$102,78,1)="B"),10000,"")</f>
      </c>
      <c r="G81" s="72"/>
      <c r="H81" s="39">
        <f t="shared" si="1"/>
        <v>0</v>
      </c>
    </row>
    <row r="82" spans="1:8" s="1" customFormat="1" ht="18" customHeight="1">
      <c r="A82" s="32">
        <v>79</v>
      </c>
      <c r="B82" s="33">
        <f>IF(INDEX('参加者データ（要入力）'!$B$3:$B$102,79,1)="","",INDEX('参加者データ（要入力）'!$B$3:$B$102,79,1))</f>
      </c>
      <c r="C82" s="72"/>
      <c r="D82" s="72"/>
      <c r="E82" s="72"/>
      <c r="F82" s="72">
        <f>IF(OR(INDEX('参加者データ（要入力）'!$J$3:$J$102,79,1)="A",INDEX('参加者データ（要入力）'!$J$3:$J$102,79,1)="B"),10000,"")</f>
      </c>
      <c r="G82" s="72"/>
      <c r="H82" s="39">
        <f t="shared" si="1"/>
        <v>0</v>
      </c>
    </row>
    <row r="83" spans="1:8" s="1" customFormat="1" ht="18" customHeight="1">
      <c r="A83" s="32">
        <v>80</v>
      </c>
      <c r="B83" s="33">
        <f>IF(INDEX('参加者データ（要入力）'!$B$3:$B$102,80,1)="","",INDEX('参加者データ（要入力）'!$B$3:$B$102,80,1))</f>
      </c>
      <c r="C83" s="72"/>
      <c r="D83" s="72"/>
      <c r="E83" s="72"/>
      <c r="F83" s="72">
        <f>IF(OR(INDEX('参加者データ（要入力）'!$J$3:$J$102,80,1)="A",INDEX('参加者データ（要入力）'!$J$3:$J$102,80,1)="B"),10000,"")</f>
      </c>
      <c r="G83" s="72"/>
      <c r="H83" s="39">
        <f t="shared" si="1"/>
        <v>0</v>
      </c>
    </row>
    <row r="84" spans="1:8" s="1" customFormat="1" ht="18" customHeight="1">
      <c r="A84" s="32">
        <v>81</v>
      </c>
      <c r="B84" s="33">
        <f>IF(INDEX('参加者データ（要入力）'!$B$3:$B$102,81,1)="","",INDEX('参加者データ（要入力）'!$B$3:$B$102,81,1))</f>
      </c>
      <c r="C84" s="72"/>
      <c r="D84" s="72"/>
      <c r="E84" s="72"/>
      <c r="F84" s="72">
        <f>IF(OR(INDEX('参加者データ（要入力）'!$J$3:$J$102,81,1)="A",INDEX('参加者データ（要入力）'!$J$3:$J$102,81,1)="B"),10000,"")</f>
      </c>
      <c r="G84" s="72"/>
      <c r="H84" s="39">
        <f t="shared" si="1"/>
        <v>0</v>
      </c>
    </row>
    <row r="85" spans="1:8" s="1" customFormat="1" ht="18" customHeight="1">
      <c r="A85" s="32">
        <v>82</v>
      </c>
      <c r="B85" s="33">
        <f>IF(INDEX('参加者データ（要入力）'!$B$3:$B$102,82,1)="","",INDEX('参加者データ（要入力）'!$B$3:$B$102,82,1))</f>
      </c>
      <c r="C85" s="72"/>
      <c r="D85" s="72"/>
      <c r="E85" s="72"/>
      <c r="F85" s="72">
        <f>IF(OR(INDEX('参加者データ（要入力）'!$J$3:$J$102,82,1)="A",INDEX('参加者データ（要入力）'!$J$3:$J$102,82,1)="B"),10000,"")</f>
      </c>
      <c r="G85" s="72"/>
      <c r="H85" s="39">
        <f t="shared" si="1"/>
        <v>0</v>
      </c>
    </row>
    <row r="86" spans="1:8" s="1" customFormat="1" ht="18" customHeight="1">
      <c r="A86" s="32">
        <v>83</v>
      </c>
      <c r="B86" s="33">
        <f>IF(INDEX('参加者データ（要入力）'!$B$3:$B$102,83,1)="","",INDEX('参加者データ（要入力）'!$B$3:$B$102,83,1))</f>
      </c>
      <c r="C86" s="72"/>
      <c r="D86" s="72"/>
      <c r="E86" s="72"/>
      <c r="F86" s="72">
        <f>IF(OR(INDEX('参加者データ（要入力）'!$J$3:$J$102,83,1)="A",INDEX('参加者データ（要入力）'!$J$3:$J$102,83,1)="B"),10000,"")</f>
      </c>
      <c r="G86" s="72"/>
      <c r="H86" s="39">
        <f t="shared" si="1"/>
        <v>0</v>
      </c>
    </row>
    <row r="87" spans="1:8" s="1" customFormat="1" ht="18" customHeight="1">
      <c r="A87" s="32">
        <v>84</v>
      </c>
      <c r="B87" s="33">
        <f>IF(INDEX('参加者データ（要入力）'!$B$3:$B$102,84,1)="","",INDEX('参加者データ（要入力）'!$B$3:$B$102,84,1))</f>
      </c>
      <c r="C87" s="72"/>
      <c r="D87" s="72"/>
      <c r="E87" s="72"/>
      <c r="F87" s="72">
        <f>IF(OR(INDEX('参加者データ（要入力）'!$J$3:$J$102,84,1)="A",INDEX('参加者データ（要入力）'!$J$3:$J$102,84,1)="B"),10000,"")</f>
      </c>
      <c r="G87" s="72"/>
      <c r="H87" s="39">
        <f t="shared" si="1"/>
        <v>0</v>
      </c>
    </row>
    <row r="88" spans="1:8" s="1" customFormat="1" ht="18" customHeight="1">
      <c r="A88" s="32">
        <v>85</v>
      </c>
      <c r="B88" s="33">
        <f>IF(INDEX('参加者データ（要入力）'!$B$3:$B$102,85,1)="","",INDEX('参加者データ（要入力）'!$B$3:$B$102,85,1))</f>
      </c>
      <c r="C88" s="72"/>
      <c r="D88" s="72"/>
      <c r="E88" s="72"/>
      <c r="F88" s="72">
        <f>IF(OR(INDEX('参加者データ（要入力）'!$J$3:$J$102,85,1)="A",INDEX('参加者データ（要入力）'!$J$3:$J$102,85,1)="B"),10000,"")</f>
      </c>
      <c r="G88" s="72"/>
      <c r="H88" s="39">
        <f t="shared" si="1"/>
        <v>0</v>
      </c>
    </row>
    <row r="89" spans="1:8" s="1" customFormat="1" ht="18" customHeight="1">
      <c r="A89" s="32">
        <v>86</v>
      </c>
      <c r="B89" s="33">
        <f>IF(INDEX('参加者データ（要入力）'!$B$3:$B$102,86,1)="","",INDEX('参加者データ（要入力）'!$B$3:$B$102,86,1))</f>
      </c>
      <c r="C89" s="72"/>
      <c r="D89" s="72"/>
      <c r="E89" s="72"/>
      <c r="F89" s="72">
        <f>IF(OR(INDEX('参加者データ（要入力）'!$J$3:$J$102,86,1)="A",INDEX('参加者データ（要入力）'!$J$3:$J$102,86,1)="B"),10000,"")</f>
      </c>
      <c r="G89" s="72"/>
      <c r="H89" s="39">
        <f t="shared" si="1"/>
        <v>0</v>
      </c>
    </row>
    <row r="90" spans="1:8" s="1" customFormat="1" ht="18" customHeight="1">
      <c r="A90" s="32">
        <v>87</v>
      </c>
      <c r="B90" s="33">
        <f>IF(INDEX('参加者データ（要入力）'!$B$3:$B$102,87,1)="","",INDEX('参加者データ（要入力）'!$B$3:$B$102,87,1))</f>
      </c>
      <c r="C90" s="72"/>
      <c r="D90" s="72"/>
      <c r="E90" s="72"/>
      <c r="F90" s="72">
        <f>IF(OR(INDEX('参加者データ（要入力）'!$J$3:$J$102,87,1)="A",INDEX('参加者データ（要入力）'!$J$3:$J$102,87,1)="B"),10000,"")</f>
      </c>
      <c r="G90" s="72"/>
      <c r="H90" s="39">
        <f t="shared" si="1"/>
        <v>0</v>
      </c>
    </row>
    <row r="91" spans="1:8" s="1" customFormat="1" ht="18" customHeight="1">
      <c r="A91" s="32">
        <v>88</v>
      </c>
      <c r="B91" s="33">
        <f>IF(INDEX('参加者データ（要入力）'!$B$3:$B$102,88,1)="","",INDEX('参加者データ（要入力）'!$B$3:$B$102,88,1))</f>
      </c>
      <c r="C91" s="72"/>
      <c r="D91" s="72"/>
      <c r="E91" s="72"/>
      <c r="F91" s="72">
        <f>IF(OR(INDEX('参加者データ（要入力）'!$J$3:$J$102,88,1)="A",INDEX('参加者データ（要入力）'!$J$3:$J$102,88,1)="B"),10000,"")</f>
      </c>
      <c r="G91" s="72"/>
      <c r="H91" s="39">
        <f t="shared" si="1"/>
        <v>0</v>
      </c>
    </row>
    <row r="92" spans="1:8" s="1" customFormat="1" ht="18" customHeight="1">
      <c r="A92" s="32">
        <v>89</v>
      </c>
      <c r="B92" s="33">
        <f>IF(INDEX('参加者データ（要入力）'!$B$3:$B$102,89,1)="","",INDEX('参加者データ（要入力）'!$B$3:$B$102,89,1))</f>
      </c>
      <c r="C92" s="72"/>
      <c r="D92" s="72"/>
      <c r="E92" s="72"/>
      <c r="F92" s="72">
        <f>IF(OR(INDEX('参加者データ（要入力）'!$J$3:$J$102,89,1)="A",INDEX('参加者データ（要入力）'!$J$3:$J$102,89,1)="B"),10000,"")</f>
      </c>
      <c r="G92" s="72"/>
      <c r="H92" s="39">
        <f t="shared" si="1"/>
        <v>0</v>
      </c>
    </row>
    <row r="93" spans="1:8" s="1" customFormat="1" ht="18" customHeight="1">
      <c r="A93" s="32">
        <v>90</v>
      </c>
      <c r="B93" s="33">
        <f>IF(INDEX('参加者データ（要入力）'!$B$3:$B$102,90,1)="","",INDEX('参加者データ（要入力）'!$B$3:$B$102,90,1))</f>
      </c>
      <c r="C93" s="72"/>
      <c r="D93" s="72"/>
      <c r="E93" s="72"/>
      <c r="F93" s="72">
        <f>IF(OR(INDEX('参加者データ（要入力）'!$J$3:$J$102,90,1)="A",INDEX('参加者データ（要入力）'!$J$3:$J$102,90,1)="B"),10000,"")</f>
      </c>
      <c r="G93" s="72"/>
      <c r="H93" s="39">
        <f t="shared" si="1"/>
        <v>0</v>
      </c>
    </row>
    <row r="94" spans="1:8" s="1" customFormat="1" ht="18" customHeight="1">
      <c r="A94" s="32">
        <v>91</v>
      </c>
      <c r="B94" s="33">
        <f>IF(INDEX('参加者データ（要入力）'!$B$3:$B$102,91,1)="","",INDEX('参加者データ（要入力）'!$B$3:$B$102,91,1))</f>
      </c>
      <c r="C94" s="72"/>
      <c r="D94" s="72"/>
      <c r="E94" s="72"/>
      <c r="F94" s="72">
        <f>IF(OR(INDEX('参加者データ（要入力）'!$J$3:$J$102,91,1)="A",INDEX('参加者データ（要入力）'!$J$3:$J$102,91,1)="B"),10000,"")</f>
      </c>
      <c r="G94" s="72"/>
      <c r="H94" s="39">
        <f t="shared" si="1"/>
        <v>0</v>
      </c>
    </row>
    <row r="95" spans="1:8" s="1" customFormat="1" ht="18" customHeight="1">
      <c r="A95" s="32">
        <v>92</v>
      </c>
      <c r="B95" s="33">
        <f>IF(INDEX('参加者データ（要入力）'!$B$3:$B$102,92,1)="","",INDEX('参加者データ（要入力）'!$B$3:$B$102,92,1))</f>
      </c>
      <c r="C95" s="72"/>
      <c r="D95" s="72"/>
      <c r="E95" s="72"/>
      <c r="F95" s="72">
        <f>IF(OR(INDEX('参加者データ（要入力）'!$J$3:$J$102,92,1)="A",INDEX('参加者データ（要入力）'!$J$3:$J$102,92,1)="B"),10000,"")</f>
      </c>
      <c r="G95" s="72"/>
      <c r="H95" s="39">
        <f t="shared" si="1"/>
        <v>0</v>
      </c>
    </row>
    <row r="96" spans="1:8" s="1" customFormat="1" ht="18" customHeight="1">
      <c r="A96" s="32">
        <v>93</v>
      </c>
      <c r="B96" s="33">
        <f>IF(INDEX('参加者データ（要入力）'!$B$3:$B$102,93,1)="","",INDEX('参加者データ（要入力）'!$B$3:$B$102,93,1))</f>
      </c>
      <c r="C96" s="72"/>
      <c r="D96" s="72"/>
      <c r="E96" s="72"/>
      <c r="F96" s="72">
        <f>IF(OR(INDEX('参加者データ（要入力）'!$J$3:$J$102,93,1)="A",INDEX('参加者データ（要入力）'!$J$3:$J$102,93,1)="B"),10000,"")</f>
      </c>
      <c r="G96" s="72"/>
      <c r="H96" s="39">
        <f t="shared" si="1"/>
        <v>0</v>
      </c>
    </row>
    <row r="97" spans="1:8" s="1" customFormat="1" ht="18" customHeight="1">
      <c r="A97" s="32">
        <v>94</v>
      </c>
      <c r="B97" s="33">
        <f>IF(INDEX('参加者データ（要入力）'!$B$3:$B$102,94,1)="","",INDEX('参加者データ（要入力）'!$B$3:$B$102,94,1))</f>
      </c>
      <c r="C97" s="72"/>
      <c r="D97" s="72"/>
      <c r="E97" s="72"/>
      <c r="F97" s="72">
        <f>IF(OR(INDEX('参加者データ（要入力）'!$J$3:$J$102,94,1)="A",INDEX('参加者データ（要入力）'!$J$3:$J$102,94,1)="B"),10000,"")</f>
      </c>
      <c r="G97" s="72"/>
      <c r="H97" s="39">
        <f t="shared" si="1"/>
        <v>0</v>
      </c>
    </row>
    <row r="98" spans="1:8" s="1" customFormat="1" ht="18" customHeight="1">
      <c r="A98" s="32">
        <v>95</v>
      </c>
      <c r="B98" s="33">
        <f>IF(INDEX('参加者データ（要入力）'!$B$3:$B$102,95,1)="","",INDEX('参加者データ（要入力）'!$B$3:$B$102,95,1))</f>
      </c>
      <c r="C98" s="72"/>
      <c r="D98" s="72"/>
      <c r="E98" s="72"/>
      <c r="F98" s="72">
        <f>IF(OR(INDEX('参加者データ（要入力）'!$J$3:$J$102,95,1)="A",INDEX('参加者データ（要入力）'!$J$3:$J$102,95,1)="B"),10000,"")</f>
      </c>
      <c r="G98" s="72"/>
      <c r="H98" s="39">
        <f t="shared" si="1"/>
        <v>0</v>
      </c>
    </row>
    <row r="99" spans="1:8" s="1" customFormat="1" ht="18" customHeight="1">
      <c r="A99" s="32">
        <v>96</v>
      </c>
      <c r="B99" s="33">
        <f>IF(INDEX('参加者データ（要入力）'!$B$3:$B$102,96,1)="","",INDEX('参加者データ（要入力）'!$B$3:$B$102,96,1))</f>
      </c>
      <c r="C99" s="72"/>
      <c r="D99" s="72"/>
      <c r="E99" s="72"/>
      <c r="F99" s="72">
        <f>IF(OR(INDEX('参加者データ（要入力）'!$J$3:$J$102,96,1)="A",INDEX('参加者データ（要入力）'!$J$3:$J$102,96,1)="B"),10000,"")</f>
      </c>
      <c r="G99" s="72"/>
      <c r="H99" s="39">
        <f t="shared" si="1"/>
        <v>0</v>
      </c>
    </row>
    <row r="100" spans="1:8" s="1" customFormat="1" ht="18" customHeight="1">
      <c r="A100" s="32">
        <v>97</v>
      </c>
      <c r="B100" s="33">
        <f>IF(INDEX('参加者データ（要入力）'!$B$3:$B$102,97,1)="","",INDEX('参加者データ（要入力）'!$B$3:$B$102,97,1))</f>
      </c>
      <c r="C100" s="72"/>
      <c r="D100" s="72"/>
      <c r="E100" s="72"/>
      <c r="F100" s="72">
        <f>IF(OR(INDEX('参加者データ（要入力）'!$J$3:$J$102,97,1)="A",INDEX('参加者データ（要入力）'!$J$3:$J$102,97,1)="B"),10000,"")</f>
      </c>
      <c r="G100" s="72"/>
      <c r="H100" s="39">
        <f t="shared" si="1"/>
        <v>0</v>
      </c>
    </row>
    <row r="101" spans="1:8" s="1" customFormat="1" ht="18" customHeight="1">
      <c r="A101" s="32">
        <v>98</v>
      </c>
      <c r="B101" s="33">
        <f>IF(INDEX('参加者データ（要入力）'!$B$3:$B$102,98,1)="","",INDEX('参加者データ（要入力）'!$B$3:$B$102,98,1))</f>
      </c>
      <c r="C101" s="72"/>
      <c r="D101" s="72"/>
      <c r="E101" s="72"/>
      <c r="F101" s="72">
        <f>IF(OR(INDEX('参加者データ（要入力）'!$J$3:$J$102,98,1)="A",INDEX('参加者データ（要入力）'!$J$3:$J$102,98,1)="B"),10000,"")</f>
      </c>
      <c r="G101" s="72"/>
      <c r="H101" s="39">
        <f t="shared" si="1"/>
        <v>0</v>
      </c>
    </row>
    <row r="102" spans="1:8" s="1" customFormat="1" ht="18" customHeight="1">
      <c r="A102" s="32">
        <v>99</v>
      </c>
      <c r="B102" s="33">
        <f>IF(INDEX('参加者データ（要入力）'!$B$3:$B$102,99,1)="","",INDEX('参加者データ（要入力）'!$B$3:$B$102,99,1))</f>
      </c>
      <c r="C102" s="72"/>
      <c r="D102" s="72"/>
      <c r="E102" s="72"/>
      <c r="F102" s="72">
        <f>IF(OR(INDEX('参加者データ（要入力）'!$J$3:$J$102,99,1)="A",INDEX('参加者データ（要入力）'!$J$3:$J$102,99,1)="B"),10000,"")</f>
      </c>
      <c r="G102" s="72"/>
      <c r="H102" s="39">
        <f t="shared" si="1"/>
        <v>0</v>
      </c>
    </row>
    <row r="103" spans="1:8" s="1" customFormat="1" ht="18" customHeight="1" thickBot="1">
      <c r="A103" s="34">
        <v>100</v>
      </c>
      <c r="B103" s="35">
        <f>IF(INDEX('参加者データ（要入力）'!$B$3:$B$102,100,1)="","",INDEX('参加者データ（要入力）'!$B$3:$B$102,100,1))</f>
      </c>
      <c r="C103" s="73"/>
      <c r="D103" s="73"/>
      <c r="E103" s="73"/>
      <c r="F103" s="73">
        <f>IF(OR(INDEX('参加者データ（要入力）'!$J$3:$J$102,100,1)="A",INDEX('参加者データ（要入力）'!$J$3:$J$102,100,1)="B"),10000,"")</f>
      </c>
      <c r="G103" s="73"/>
      <c r="H103" s="40">
        <f>SUM(C103:G103)</f>
        <v>0</v>
      </c>
    </row>
    <row r="104" spans="1:8" ht="30.75" customHeight="1" thickBot="1" thickTop="1">
      <c r="A104" s="36"/>
      <c r="B104" s="37"/>
      <c r="C104" s="103">
        <f>SUM(C4:C103)</f>
        <v>0</v>
      </c>
      <c r="D104" s="103"/>
      <c r="E104" s="103">
        <f>SUM(E4:E103)</f>
        <v>0</v>
      </c>
      <c r="F104" s="103">
        <f>SUM(F4:F103)</f>
        <v>0</v>
      </c>
      <c r="G104" s="103">
        <f>SUM(G4:G103)</f>
        <v>0</v>
      </c>
      <c r="H104" s="41">
        <f>SUM(H4:H103)</f>
        <v>0</v>
      </c>
    </row>
  </sheetData>
  <sheetProtection deleteColumns="0" selectLockedCells="1" sort="0"/>
  <mergeCells count="2">
    <mergeCell ref="A1:H1"/>
    <mergeCell ref="I4:O4"/>
  </mergeCells>
  <printOptions/>
  <pageMargins left="0.42" right="0.33" top="0.32" bottom="0.64" header="0.25"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R3"/>
  <sheetViews>
    <sheetView zoomScalePageLayoutView="0" workbookViewId="0" topLeftCell="A1">
      <selection activeCell="Q22" sqref="Q22"/>
    </sheetView>
  </sheetViews>
  <sheetFormatPr defaultColWidth="9.00390625" defaultRowHeight="13.5"/>
  <cols>
    <col min="5" max="5" width="15.125" style="0" bestFit="1" customWidth="1"/>
  </cols>
  <sheetData>
    <row r="2" spans="1:18" ht="12.75">
      <c r="A2" s="68" t="s">
        <v>49</v>
      </c>
      <c r="B2" s="68" t="s">
        <v>50</v>
      </c>
      <c r="C2" s="65" t="s">
        <v>4</v>
      </c>
      <c r="D2" s="65" t="s">
        <v>5</v>
      </c>
      <c r="E2" s="65" t="s">
        <v>23</v>
      </c>
      <c r="F2" s="65" t="s">
        <v>26</v>
      </c>
      <c r="G2" s="65" t="s">
        <v>87</v>
      </c>
      <c r="H2" s="65" t="s">
        <v>25</v>
      </c>
      <c r="I2" s="65" t="s">
        <v>42</v>
      </c>
      <c r="J2" s="65" t="s">
        <v>8</v>
      </c>
      <c r="K2" s="65" t="s">
        <v>0</v>
      </c>
      <c r="L2" s="65" t="s">
        <v>88</v>
      </c>
      <c r="M2" s="65" t="s">
        <v>89</v>
      </c>
      <c r="N2" s="65" t="s">
        <v>90</v>
      </c>
      <c r="O2" s="65" t="s">
        <v>91</v>
      </c>
      <c r="P2" s="65" t="s">
        <v>92</v>
      </c>
      <c r="Q2" s="65" t="s">
        <v>93</v>
      </c>
      <c r="R2" s="65" t="s">
        <v>36</v>
      </c>
    </row>
    <row r="3" spans="1:18" ht="12.75">
      <c r="A3" s="66" t="str">
        <f>'奉仕団基礎データ（要入力）'!C4</f>
        <v>昼</v>
      </c>
      <c r="B3" s="66" t="str">
        <f>'奉仕団基礎データ（要入力）'!D4</f>
        <v>昼</v>
      </c>
      <c r="C3" s="66" t="str">
        <f>'奉仕団基礎データ（要入力）'!A7</f>
        <v>●●</v>
      </c>
      <c r="D3" s="66" t="str">
        <f>'奉仕団基礎データ（要入力）'!B7</f>
        <v>●●</v>
      </c>
      <c r="E3" s="66" t="str">
        <f>'奉仕団基礎データ（要入力）'!C7</f>
        <v>●●寺</v>
      </c>
      <c r="F3" s="66" t="str">
        <f>'奉仕団基礎データ（要入力）'!A15</f>
        <v>山本　真宗</v>
      </c>
      <c r="G3" s="66" t="str">
        <f>'奉仕団基礎データ（要入力）'!C10</f>
        <v>057-371-9185</v>
      </c>
      <c r="H3" s="66">
        <f>'奉仕団基礎データ（要入力）'!F4</f>
        <v>0</v>
      </c>
      <c r="I3" s="66">
        <f>'奉仕団基礎データ（要入力）'!G4</f>
        <v>0</v>
      </c>
      <c r="J3" s="66">
        <f>'奉仕団基礎データ（要入力）'!J4</f>
        <v>0</v>
      </c>
      <c r="K3" s="66" t="e">
        <f>奉仕団基礎データ（要入力）!#REF!</f>
        <v>#REF!</v>
      </c>
      <c r="L3" s="67">
        <f>'奉仕団基礎データ（要入力）'!A21</f>
        <v>0.4583333333333333</v>
      </c>
      <c r="M3" s="67">
        <f>'奉仕団基礎データ（要入力）'!B21</f>
        <v>0.5833333333333334</v>
      </c>
      <c r="N3" s="66" t="str">
        <f>'奉仕団基礎データ（要入力）'!A18</f>
        <v>有</v>
      </c>
      <c r="O3" s="66">
        <f>'奉仕団基礎データ（要入力）'!B18</f>
        <v>0</v>
      </c>
      <c r="P3" s="66">
        <f>'奉仕団基礎データ（要入力）'!C18</f>
        <v>0</v>
      </c>
      <c r="Q3" s="66" t="str">
        <f>'奉仕団基礎データ（要入力）'!A24</f>
        <v>その他</v>
      </c>
      <c r="R3" s="67">
        <f>'奉仕団基礎データ（要入力）'!B24</f>
        <v>0</v>
      </c>
    </row>
  </sheetData>
  <sheetProtection select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真宗大谷派宗務所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dc:creator>
  <cp:keywords/>
  <dc:description/>
  <cp:lastModifiedBy>山本　由惟</cp:lastModifiedBy>
  <cp:lastPrinted>2019-03-08T04:43:21Z</cp:lastPrinted>
  <dcterms:created xsi:type="dcterms:W3CDTF">2008-12-14T01:20:31Z</dcterms:created>
  <dcterms:modified xsi:type="dcterms:W3CDTF">2024-03-31T09:34:01Z</dcterms:modified>
  <cp:category/>
  <cp:version/>
  <cp:contentType/>
  <cp:contentStatus/>
</cp:coreProperties>
</file>